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edochovicl\Documents\01 Projects\02 NDS 18\_Outputs\SU\2020-08-05\"/>
    </mc:Choice>
  </mc:AlternateContent>
  <bookViews>
    <workbookView xWindow="0" yWindow="0" windowWidth="9150" windowHeight="0" activeTab="2"/>
  </bookViews>
  <sheets>
    <sheet name="Projektové riziká" sheetId="1" r:id="rId1"/>
    <sheet name="Prevádzkové riziká" sheetId="2" r:id="rId2"/>
    <sheet name="Sumarizácia" sheetId="3" r:id="rId3"/>
  </sheets>
  <externalReferences>
    <externalReference r:id="rId4"/>
    <externalReference r:id="rId5"/>
    <externalReference r:id="rId6"/>
  </externalReferences>
  <definedNames>
    <definedName name="_ftnref1" localSheetId="1">'Prevádzkové riziká'!$F$16</definedName>
    <definedName name="_Ref40935592" localSheetId="0">'Projektové riziká'!$B$5</definedName>
    <definedName name="_Ref40935595" localSheetId="0">'Projektové riziká'!$B$26</definedName>
    <definedName name="_Toc43481340" localSheetId="1">'Prevádzkové riziká'!$B$5</definedName>
    <definedName name="_Toc43481341" localSheetId="2">Sumarizácia!$B$3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F11" i="2"/>
  <c r="K20" i="2" l="1"/>
  <c r="M20" i="2" s="1"/>
  <c r="N20" i="2" s="1"/>
  <c r="L20" i="2"/>
  <c r="O20" i="2" l="1"/>
  <c r="F20" i="2"/>
  <c r="G20" i="2" l="1"/>
  <c r="L15" i="2" l="1"/>
  <c r="N15" i="2" s="1"/>
  <c r="F15" i="2" s="1"/>
  <c r="L13" i="2"/>
  <c r="M13" i="2" s="1"/>
  <c r="L11" i="2"/>
  <c r="M11" i="2" s="1"/>
  <c r="N13" i="2" l="1"/>
  <c r="O15" i="2"/>
  <c r="G15" i="2" s="1"/>
  <c r="N11" i="2"/>
  <c r="O11" i="2" l="1"/>
  <c r="G11" i="2" s="1"/>
  <c r="O13" i="2"/>
  <c r="G13" i="2" s="1"/>
  <c r="F13" i="2"/>
  <c r="H42" i="1"/>
  <c r="G42" i="1"/>
  <c r="K42" i="1"/>
  <c r="P42" i="1" s="1"/>
  <c r="H34" i="1"/>
  <c r="H30" i="1"/>
  <c r="H20" i="1"/>
  <c r="G34" i="1"/>
  <c r="G30" i="1"/>
  <c r="G20" i="1"/>
  <c r="K20" i="1"/>
  <c r="K34" i="1"/>
  <c r="P34" i="1"/>
  <c r="P30" i="1"/>
  <c r="P20" i="1"/>
  <c r="L22" i="2" l="1"/>
  <c r="O22" i="2" s="1"/>
  <c r="M32" i="1"/>
  <c r="N32" i="1" s="1"/>
  <c r="O32" i="1" s="1"/>
  <c r="M38" i="1"/>
  <c r="N38" i="1" s="1"/>
  <c r="M11" i="1"/>
  <c r="N11" i="1" s="1"/>
  <c r="O11" i="1" s="1"/>
  <c r="M15" i="1"/>
  <c r="N15" i="1" s="1"/>
  <c r="M18" i="1"/>
  <c r="N18" i="1" s="1"/>
  <c r="O18" i="1" s="1"/>
  <c r="M13" i="1"/>
  <c r="N13" i="1" s="1"/>
  <c r="M9" i="1"/>
  <c r="N9" i="1" s="1"/>
  <c r="M40" i="1"/>
  <c r="N40" i="1" s="1"/>
  <c r="M36" i="1"/>
  <c r="N36" i="1" s="1"/>
  <c r="O36" i="1" s="1"/>
  <c r="O25" i="2" l="1"/>
  <c r="G25" i="2" s="1"/>
  <c r="D7" i="3" s="1"/>
  <c r="P18" i="1"/>
  <c r="G18" i="1"/>
  <c r="P15" i="1"/>
  <c r="H15" i="1" s="1"/>
  <c r="O15" i="1"/>
  <c r="G15" i="1" s="1"/>
  <c r="P36" i="1"/>
  <c r="H36" i="1" s="1"/>
  <c r="G36" i="1"/>
  <c r="P11" i="1"/>
  <c r="G11" i="1"/>
  <c r="O13" i="1"/>
  <c r="G13" i="1" s="1"/>
  <c r="P13" i="1"/>
  <c r="H13" i="1" s="1"/>
  <c r="P38" i="1"/>
  <c r="H38" i="1" s="1"/>
  <c r="O38" i="1"/>
  <c r="G38" i="1" s="1"/>
  <c r="P32" i="1"/>
  <c r="G32" i="1"/>
  <c r="P40" i="1"/>
  <c r="H40" i="1" s="1"/>
  <c r="O40" i="1"/>
  <c r="G40" i="1" s="1"/>
  <c r="P21" i="1" l="1"/>
  <c r="H21" i="1" s="1"/>
  <c r="H18" i="1"/>
  <c r="P16" i="1"/>
  <c r="H16" i="1" s="1"/>
  <c r="H11" i="1"/>
  <c r="H32" i="1"/>
  <c r="P43" i="1"/>
  <c r="H43" i="1" s="1"/>
  <c r="D6" i="3" s="1"/>
  <c r="P22" i="1" l="1"/>
  <c r="H22" i="1" s="1"/>
  <c r="D5" i="3" s="1"/>
  <c r="D8" i="3" l="1"/>
</calcChain>
</file>

<file path=xl/sharedStrings.xml><?xml version="1.0" encoding="utf-8"?>
<sst xmlns="http://schemas.openxmlformats.org/spreadsheetml/2006/main" count="172" uniqueCount="106">
  <si>
    <t>Dopad rizika na Projekt</t>
  </si>
  <si>
    <t>Riešenie dopadu</t>
  </si>
  <si>
    <t>Miera dopadu na míľnik M0</t>
  </si>
  <si>
    <t>Pravdepodobnosť</t>
  </si>
  <si>
    <t>naplnenia rizika</t>
  </si>
  <si>
    <t>Ostatné opatrenia</t>
  </si>
  <si>
    <t>Hodnota dopadov rizika [Eur]</t>
  </si>
  <si>
    <t>Rozpočtová rezerva [Eur]</t>
  </si>
  <si>
    <t>Omeškanie míľnika uzatvorenia zmluvy</t>
  </si>
  <si>
    <t xml:space="preserve">do 60 dní </t>
  </si>
  <si>
    <t>Skrátenie lehoty na vybudovanie v Etape 1 - Príprava Projektu</t>
  </si>
  <si>
    <t>Bez dopadu</t>
  </si>
  <si>
    <t>Zmena podmienok zmluvy – skrátenie Etapy 1 – Príprava Projektu</t>
  </si>
  <si>
    <t>bez finančných dopadov na strane obstarávateľa</t>
  </si>
  <si>
    <t xml:space="preserve">od 61 do 120 dní </t>
  </si>
  <si>
    <t>Odklad Etapy 2 – Prevádzka Projektu</t>
  </si>
  <si>
    <t>o 2 mesiace</t>
  </si>
  <si>
    <t>Zmena podmienok zmluvy – skrátenie Etapy 1 – Príprava Projektu o 60 dní</t>
  </si>
  <si>
    <t>Predĺženie služieb SkyToll</t>
  </si>
  <si>
    <t>2 mesiace predlženia Služby ETC SkyToll, rozdiel plánovaných nákladov</t>
  </si>
  <si>
    <t xml:space="preserve">od 121 do 180 dní </t>
  </si>
  <si>
    <t>o 4 mesiace</t>
  </si>
  <si>
    <t>2+2 mesiace predlženia Služby ETC SkyToll, rozdiel plánovaných nákladov</t>
  </si>
  <si>
    <t xml:space="preserve">od 181 do 360 dní </t>
  </si>
  <si>
    <t>o 10 mesiacov</t>
  </si>
  <si>
    <t>2+2+6 mesiacov predlženia Služby ETC SkyToll, rozdiel plánovaných nákladov</t>
  </si>
  <si>
    <t>Spolu rozpočtová rezerva k riziku omeškania uzatvorenia zmluvy</t>
  </si>
  <si>
    <t xml:space="preserve">Zrušenie verejného obstarávania </t>
  </si>
  <si>
    <t>Príprava, vyhlásenie a uskutočnenie nového verejného obstarávania</t>
  </si>
  <si>
    <t>Časový posun o 12 a viac mesiacov</t>
  </si>
  <si>
    <t>12 mesiacov predlženia Služby ETC SkyToll, rozdiel plánovaných nákladov</t>
  </si>
  <si>
    <t>Náklady NDS na prípravu a vykonanie nového verejného obstarávania</t>
  </si>
  <si>
    <t xml:space="preserve">Spolu rozpočtová rezerva </t>
  </si>
  <si>
    <t>Tab. 153 - Dopady rizík z fázy verejného obstarávania Projektu</t>
  </si>
  <si>
    <t>Predpokladané ročné náklady Skytoll (2022)</t>
  </si>
  <si>
    <t>Miera dopadu [mesiace]</t>
  </si>
  <si>
    <t>Textová časť</t>
  </si>
  <si>
    <t>Výpočtová časť</t>
  </si>
  <si>
    <t>Predpokladané priemerné ročné náklady EMS [Eur]</t>
  </si>
  <si>
    <t>Rozdiel nákladov Skytoll-EMS [Eur]</t>
  </si>
  <si>
    <t>Finančný dopad rizika [Eur]</t>
  </si>
  <si>
    <t>Príspevok k finančnej rezerve [Eur]</t>
  </si>
  <si>
    <t>Subtotal</t>
  </si>
  <si>
    <t>Total</t>
  </si>
  <si>
    <t>Neuzatvorenie zmluvy s vybraným dodávateľom z dôvodov na jeho strane</t>
  </si>
  <si>
    <t>Uzatvorenie zmluvy s dodávateľom, ktorý sa v hodnotení ponúk umiestnil na druhom mieste najneskôr do 60 dní od uplynutia pôvodného termínu uzatvorenia zmluvy</t>
  </si>
  <si>
    <t>Skrátenie lehoty na vybudovanie v Etape 1 - Príprava</t>
  </si>
  <si>
    <t>Zmena podmienok zmluvy – skrátenie Etapy 1 – Príprava Projektu až o 60 dní</t>
  </si>
  <si>
    <t>Náklady na právne služby spojené s uzatváraním zmluvy s druhým dodávateľom v poradí</t>
  </si>
  <si>
    <t>Odstúpenie od zmluvy s vybraným dodávateľom pre stratu schopnosti plniť v priebehu Etapy 1 - Príprava Projektu</t>
  </si>
  <si>
    <t>Penalizácia dodávateľa</t>
  </si>
  <si>
    <t>Náhrada škody</t>
  </si>
  <si>
    <t>Časový posun o 18 a viac mesiacov</t>
  </si>
  <si>
    <t>18 mesiacov predlženia Služby ETC SkyToll, rozdiel plánovaných nákladov</t>
  </si>
  <si>
    <t>Omeškanie dodávateľa s plnením zákazky v Etape 1 – Príprava Projektu do 30 dní</t>
  </si>
  <si>
    <t>Časový posun o 1 mesiac</t>
  </si>
  <si>
    <t>1 mesiac predlženia Služby ETC SkyToll, rozdiel plánovaných nákladov</t>
  </si>
  <si>
    <t>Omeškanie dodávateľa s plnením zákazky v Etape 1 – Príprava Projektu do 60 dní</t>
  </si>
  <si>
    <t>Časový posun o 2 mesiace</t>
  </si>
  <si>
    <t>Uplatnenie opcie predĺženia služieb SkyToll</t>
  </si>
  <si>
    <t>Omeškanie dodávateľa s plnením zákazky v Etape 1 – Príprava Projektu do 90 dní</t>
  </si>
  <si>
    <t>Odstúpenie od zmluvy</t>
  </si>
  <si>
    <t>18 mesiacov predlženia Služby ETC  SkyToll, rozdiel plánovaných nákladov</t>
  </si>
  <si>
    <t>Spolu rozpočtová rezerva k riziku dodávateľským rizikám v Etape 1</t>
  </si>
  <si>
    <t>Zníženie výnosov z výberu mýta v dôsledku nízkej účinnosti systému elektronického výberu mýta na diaľniciach a rýchlostných cestách</t>
  </si>
  <si>
    <t xml:space="preserve">Odstránenie technických príčin </t>
  </si>
  <si>
    <t>Zmluvná pokuta</t>
  </si>
  <si>
    <t>Rozdiel medzi nominálnou zmluvnou hodnotou účinnosti a minimálnou prípustnou hodnotou účinnosti vztiahnutý na plánovanú sumu mýta za obdobie Projektu:</t>
  </si>
  <si>
    <t>Zníženie výnosov z výberu mýta v dôsledku nízkej účinnosti systému elektronického výberu mýta na cestách I. triedy</t>
  </si>
  <si>
    <t>Zníženie výnosov z výberu mýta v dôsledku poruchy systému elektronického výberu mýta</t>
  </si>
  <si>
    <t>Odstránenie technických príčin</t>
  </si>
  <si>
    <t>Náklady naviac na zabezpečenie personálnych kapacít dodávateľským spôsobom</t>
  </si>
  <si>
    <t>Zabezpečenie personálnych kapacít dodávateľským spôsobom na prvých 6 mesiacov prevádzky</t>
  </si>
  <si>
    <t>Rozdiel medzi trhovou cenou personálnych zdrojov a nákladmi na interných zamestnancov; priemerné ročné tržby na 1 pracovníka v sektoru ICT[1]:</t>
  </si>
  <si>
    <t>Navýšenie nákladov na implementáciu a prevádzku nepredvídanej zmeny Projektu</t>
  </si>
  <si>
    <t>Zmenové konanie</t>
  </si>
  <si>
    <t>Uzatvorenie dodatku k zmluve, navýšenie rozpočtu Projektu</t>
  </si>
  <si>
    <t>nestanovuje sa</t>
  </si>
  <si>
    <t>1 % z plánovanej sumy nákladov projektu:</t>
  </si>
  <si>
    <t>Spolu rozpočtová rezerva k prevádzkovým rizikám</t>
  </si>
  <si>
    <r>
      <t>[1]</t>
    </r>
    <r>
      <rPr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Slovenský štatistický úrad, odvetvové štatistiky</t>
    </r>
  </si>
  <si>
    <t>Min. prípustná účinnosť EMS</t>
  </si>
  <si>
    <t>Plánovaný výber mýta</t>
  </si>
  <si>
    <t>Zmluvná účinnosť EMS</t>
  </si>
  <si>
    <t>Min. prípustný výber mýta</t>
  </si>
  <si>
    <t>Strata Mýtnych transakcií za 24 hodín výpadku, raz ročne počas 5 rokov Projektu:</t>
  </si>
  <si>
    <t>Plánovaná suma nákladov projektu</t>
  </si>
  <si>
    <t>Plánovaná suma personálnych nákladov projektu na jeden mesiac</t>
  </si>
  <si>
    <t>Počet mesiacov</t>
  </si>
  <si>
    <t>Počet pracovníkov</t>
  </si>
  <si>
    <t>Suma nákladov za služby v trhových cenách za 1 mesiac</t>
  </si>
  <si>
    <t>7 744,- Eur/mesiac (po valorizácii na c. ú. 2020), počet prac. 102, spolu 720 188,- Eur/mesiac,</t>
  </si>
  <si>
    <t>plán. náklady NDS: 259 154,- Eur/mesiac,</t>
  </si>
  <si>
    <t>Rozdiel personálnych nákladov, suma za 6 mesiacov:</t>
  </si>
  <si>
    <t>Kategória rizík</t>
  </si>
  <si>
    <t>Etapa Projektu</t>
  </si>
  <si>
    <t>Riziká z fázy verejného obstarávania</t>
  </si>
  <si>
    <t>verejné obstarávanie</t>
  </si>
  <si>
    <t>Dodávateľské riziká vo fáze dodávky a implementácie</t>
  </si>
  <si>
    <t>Etapa 1</t>
  </si>
  <si>
    <t>Prevádzkové riziká</t>
  </si>
  <si>
    <t>Etapa 2</t>
  </si>
  <si>
    <t>Spolu rozpočtová rezerva Projektu</t>
  </si>
  <si>
    <t>Tab. 152 – Sumarizácia rozpočtovej rezervy</t>
  </si>
  <si>
    <t>Tab. 151 - Dopady prevádzkových rizík na Projekt</t>
  </si>
  <si>
    <t>Tab. 154 - Dopady dodávateľských rizík na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</si>
</sst>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\ [$€-1]"/>
    <numFmt numFmtId="165" formatCode="_-* #,##0\ [$€-1]_-;\-* #,##0\ [$€-1]_-;_-* &quot;-&quot;??\ [$€-1]_-;_-@_-"/>
  </numFmts>
  <fonts count="10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i/>
      <sz val="9"/>
      <color rgb="FF44546A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/>
      <bottom style="medium">
        <color rgb="FF808080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6" fillId="0" borderId="0" xfId="0" applyFont="1"/>
    <xf numFmtId="0" fontId="6" fillId="5" borderId="0" xfId="0" applyFont="1" applyFill="1" applyAlignment="1">
      <alignment horizontal="center" wrapText="1"/>
    </xf>
    <xf numFmtId="0" fontId="6" fillId="6" borderId="0" xfId="0" applyFont="1" applyFill="1"/>
    <xf numFmtId="9" fontId="6" fillId="6" borderId="0" xfId="0" applyNumberFormat="1" applyFont="1" applyFill="1"/>
    <xf numFmtId="3" fontId="6" fillId="6" borderId="0" xfId="0" applyNumberFormat="1" applyFont="1" applyFill="1"/>
    <xf numFmtId="3" fontId="7" fillId="6" borderId="0" xfId="0" applyNumberFormat="1" applyFont="1" applyFill="1"/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vertical="center" wrapText="1"/>
    </xf>
    <xf numFmtId="0" fontId="0" fillId="0" borderId="5" xfId="0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3" borderId="4" xfId="1" applyNumberFormat="1" applyFont="1" applyFill="1" applyBorder="1" applyAlignment="1">
      <alignment horizontal="right" vertical="center" wrapText="1"/>
    </xf>
    <xf numFmtId="165" fontId="3" fillId="2" borderId="4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10" fontId="6" fillId="6" borderId="0" xfId="0" applyNumberFormat="1" applyFont="1" applyFill="1"/>
    <xf numFmtId="9" fontId="6" fillId="6" borderId="0" xfId="2" applyFont="1" applyFill="1"/>
    <xf numFmtId="10" fontId="6" fillId="6" borderId="0" xfId="2" applyNumberFormat="1" applyFont="1" applyFill="1"/>
    <xf numFmtId="0" fontId="0" fillId="0" borderId="0" xfId="0" applyBorder="1" applyAlignment="1">
      <alignment vertical="top" wrapText="1"/>
    </xf>
    <xf numFmtId="165" fontId="3" fillId="0" borderId="0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5" fontId="3" fillId="0" borderId="9" xfId="0" applyNumberFormat="1" applyFont="1" applyBorder="1" applyAlignment="1">
      <alignment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0" fillId="4" borderId="0" xfId="0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3" fillId="2" borderId="4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9" fontId="2" fillId="0" borderId="0" xfId="0" applyNumberFormat="1" applyFont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9" fontId="2" fillId="0" borderId="8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5_Model_v&#253;davk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4_Organ_&#353;trukt&#250;ra_a_os_n&#225;kla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21">
          <cell r="B21">
            <v>33451134.136954565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I8">
            <v>60860.607760095634</v>
          </cell>
          <cell r="J8">
            <v>61235.1190561775</v>
          </cell>
          <cell r="K8">
            <v>61510.848221098975</v>
          </cell>
          <cell r="L8">
            <v>62152.148299938111</v>
          </cell>
          <cell r="M8">
            <v>60388.030473333485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I10">
            <v>7472.484800799999</v>
          </cell>
          <cell r="J10">
            <v>7320.0461108636791</v>
          </cell>
          <cell r="K10">
            <v>7170.7171702020596</v>
          </cell>
          <cell r="L10">
            <v>7024.4345399299382</v>
          </cell>
          <cell r="M10">
            <v>6881.1360753153676</v>
          </cell>
        </row>
        <row r="13">
          <cell r="I13">
            <v>127620.56023947686</v>
          </cell>
          <cell r="J13">
            <v>129522.10658704507</v>
          </cell>
          <cell r="K13">
            <v>132350.24844645779</v>
          </cell>
          <cell r="L13">
            <v>134938.16280568531</v>
          </cell>
          <cell r="M13">
            <v>136382.00114770612</v>
          </cell>
        </row>
        <row r="14">
          <cell r="I14">
            <v>38755.209208837303</v>
          </cell>
          <cell r="J14">
            <v>40875.32797544916</v>
          </cell>
          <cell r="K14">
            <v>42332.094009435488</v>
          </cell>
          <cell r="L14">
            <v>44730.383390261537</v>
          </cell>
          <cell r="M14">
            <v>49116.46613807488</v>
          </cell>
        </row>
        <row r="16">
          <cell r="I16">
            <v>234708862.00920981</v>
          </cell>
          <cell r="J16">
            <v>238952599.7295354</v>
          </cell>
          <cell r="K16">
            <v>243363907.84719428</v>
          </cell>
          <cell r="L16">
            <v>248845129.03581488</v>
          </cell>
          <cell r="M16">
            <v>252767633.83442983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 (alt.1)"/>
      <sheetName val="Zákaznícke služby (alt.2)"/>
      <sheetName val="Zákaznícke služby (alt.3)"/>
      <sheetName val="Palubné jednotky (alt.1)"/>
      <sheetName val="Palubné jednotky (alt.2)"/>
      <sheetName val="Palubné jednotky (alt.3)"/>
      <sheetName val="Agenda SVM (alt.1)"/>
      <sheetName val="Agenda SVM (alt.2)"/>
      <sheetName val="Vstupné dáta"/>
    </sheetNames>
    <sheetDataSet>
      <sheetData sheetId="0">
        <row r="13">
          <cell r="F13">
            <v>6</v>
          </cell>
          <cell r="G13">
            <v>17331</v>
          </cell>
        </row>
      </sheetData>
      <sheetData sheetId="1"/>
      <sheetData sheetId="2"/>
      <sheetData sheetId="3">
        <row r="10">
          <cell r="F10">
            <v>3</v>
          </cell>
          <cell r="G10">
            <v>8450</v>
          </cell>
        </row>
      </sheetData>
      <sheetData sheetId="4"/>
      <sheetData sheetId="5"/>
      <sheetData sheetId="6"/>
      <sheetData sheetId="7">
        <row r="100">
          <cell r="F100">
            <v>93</v>
          </cell>
          <cell r="G100">
            <v>233373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43"/>
  <sheetViews>
    <sheetView topLeftCell="A34" zoomScaleNormal="100" workbookViewId="0">
      <selection activeCell="H43" sqref="H43"/>
    </sheetView>
  </sheetViews>
  <sheetFormatPr defaultRowHeight="13.5" x14ac:dyDescent="0.25"/>
  <cols>
    <col min="2" max="2" width="19.140625" style="12" customWidth="1"/>
    <col min="3" max="3" width="15.5703125" style="12" customWidth="1"/>
    <col min="4" max="8" width="13.7109375" style="12" customWidth="1"/>
    <col min="10" max="10" width="10.7109375" style="6" customWidth="1"/>
    <col min="11" max="11" width="9.140625" style="6"/>
    <col min="12" max="12" width="11.5703125" style="6" customWidth="1"/>
    <col min="13" max="13" width="12.28515625" style="6" customWidth="1"/>
    <col min="14" max="14" width="9.85546875" style="6" bestFit="1" customWidth="1"/>
    <col min="15" max="15" width="10.5703125" style="6" customWidth="1"/>
    <col min="16" max="16" width="9.140625" style="6"/>
  </cols>
  <sheetData>
    <row r="3" spans="2:16" x14ac:dyDescent="0.25">
      <c r="B3" s="69" t="s">
        <v>36</v>
      </c>
      <c r="C3" s="69"/>
      <c r="D3" s="69"/>
      <c r="E3" s="69"/>
      <c r="F3" s="69"/>
      <c r="G3" s="69"/>
      <c r="H3" s="69"/>
      <c r="J3" s="70" t="s">
        <v>37</v>
      </c>
      <c r="K3" s="70"/>
      <c r="L3" s="70"/>
      <c r="M3" s="70"/>
      <c r="N3" s="70"/>
      <c r="O3" s="70"/>
      <c r="P3" s="70"/>
    </row>
    <row r="4" spans="2:16" ht="12.75" x14ac:dyDescent="0.2">
      <c r="B4"/>
      <c r="C4"/>
      <c r="D4"/>
      <c r="E4"/>
      <c r="F4"/>
      <c r="G4"/>
      <c r="H4"/>
      <c r="J4"/>
      <c r="K4"/>
      <c r="L4"/>
      <c r="M4"/>
      <c r="N4"/>
      <c r="O4"/>
      <c r="P4"/>
    </row>
    <row r="5" spans="2:16" x14ac:dyDescent="0.25">
      <c r="B5" s="68" t="s">
        <v>33</v>
      </c>
      <c r="C5" s="68"/>
      <c r="D5" s="68"/>
      <c r="E5" s="68"/>
      <c r="F5" s="68"/>
    </row>
    <row r="6" spans="2:16" x14ac:dyDescent="0.25">
      <c r="B6" s="63" t="s">
        <v>0</v>
      </c>
      <c r="C6" s="63" t="s">
        <v>1</v>
      </c>
      <c r="D6" s="63" t="s">
        <v>2</v>
      </c>
      <c r="E6" s="21" t="s">
        <v>3</v>
      </c>
      <c r="F6" s="63" t="s">
        <v>5</v>
      </c>
      <c r="G6" s="63" t="s">
        <v>6</v>
      </c>
      <c r="H6" s="63" t="s">
        <v>7</v>
      </c>
    </row>
    <row r="7" spans="2:16" ht="77.25" customHeight="1" x14ac:dyDescent="0.25">
      <c r="B7" s="64"/>
      <c r="C7" s="64"/>
      <c r="D7" s="64"/>
      <c r="E7" s="22" t="s">
        <v>4</v>
      </c>
      <c r="F7" s="64"/>
      <c r="G7" s="64"/>
      <c r="H7" s="64"/>
      <c r="J7" s="7" t="s">
        <v>35</v>
      </c>
      <c r="K7" s="7" t="s">
        <v>3</v>
      </c>
      <c r="L7" s="7" t="s">
        <v>34</v>
      </c>
      <c r="M7" s="7" t="s">
        <v>38</v>
      </c>
      <c r="N7" s="7" t="s">
        <v>39</v>
      </c>
      <c r="O7" s="7" t="s">
        <v>40</v>
      </c>
      <c r="P7" s="7" t="s">
        <v>41</v>
      </c>
    </row>
    <row r="8" spans="2:16" ht="75.75" customHeight="1" x14ac:dyDescent="0.25">
      <c r="B8" s="23" t="s">
        <v>8</v>
      </c>
      <c r="C8" s="59" t="s">
        <v>10</v>
      </c>
      <c r="D8" s="61" t="s">
        <v>11</v>
      </c>
      <c r="E8" s="65">
        <v>0.3</v>
      </c>
      <c r="F8" s="59" t="s">
        <v>12</v>
      </c>
      <c r="G8" s="59" t="s">
        <v>13</v>
      </c>
      <c r="H8" s="61"/>
    </row>
    <row r="9" spans="2:16" x14ac:dyDescent="0.25">
      <c r="B9" s="24" t="s">
        <v>9</v>
      </c>
      <c r="C9" s="60"/>
      <c r="D9" s="62"/>
      <c r="E9" s="66"/>
      <c r="F9" s="60"/>
      <c r="G9" s="60"/>
      <c r="H9" s="62"/>
      <c r="J9" s="8"/>
      <c r="K9" s="9">
        <v>0.3</v>
      </c>
      <c r="L9" s="10">
        <v>81225000</v>
      </c>
      <c r="M9" s="10">
        <f>[1]Vstupy_CBA!$B$21</f>
        <v>33451134.136954565</v>
      </c>
      <c r="N9" s="10">
        <f>L9-M9</f>
        <v>47773865.863045439</v>
      </c>
      <c r="O9" s="8">
        <v>0</v>
      </c>
      <c r="P9" s="10">
        <v>0</v>
      </c>
    </row>
    <row r="10" spans="2:16" ht="63.75" x14ac:dyDescent="0.25">
      <c r="B10" s="23" t="s">
        <v>8</v>
      </c>
      <c r="C10" s="59" t="s">
        <v>10</v>
      </c>
      <c r="D10" s="32" t="s">
        <v>15</v>
      </c>
      <c r="E10" s="65">
        <v>0.2</v>
      </c>
      <c r="F10" s="23" t="s">
        <v>17</v>
      </c>
      <c r="G10" s="23" t="s">
        <v>19</v>
      </c>
      <c r="H10" s="36"/>
    </row>
    <row r="11" spans="2:16" ht="25.5" x14ac:dyDescent="0.25">
      <c r="B11" s="24" t="s">
        <v>14</v>
      </c>
      <c r="C11" s="60"/>
      <c r="D11" s="26" t="s">
        <v>16</v>
      </c>
      <c r="E11" s="66"/>
      <c r="F11" s="24" t="s">
        <v>18</v>
      </c>
      <c r="G11" s="34">
        <f>O11</f>
        <v>7962310.9771742402</v>
      </c>
      <c r="H11" s="35">
        <f>P11</f>
        <v>1592462.1954348481</v>
      </c>
      <c r="J11" s="8">
        <v>2</v>
      </c>
      <c r="K11" s="9">
        <v>0.2</v>
      </c>
      <c r="L11" s="10">
        <v>81225000</v>
      </c>
      <c r="M11" s="10">
        <f>[1]Vstupy_CBA!$B$21</f>
        <v>33451134.136954565</v>
      </c>
      <c r="N11" s="10">
        <f>L11-M11</f>
        <v>47773865.863045439</v>
      </c>
      <c r="O11" s="10">
        <f>J11*N11/12</f>
        <v>7962310.9771742402</v>
      </c>
      <c r="P11" s="10">
        <f>K11*O11</f>
        <v>1592462.1954348481</v>
      </c>
    </row>
    <row r="12" spans="2:16" ht="63.75" x14ac:dyDescent="0.25">
      <c r="B12" s="13" t="s">
        <v>8</v>
      </c>
      <c r="C12" s="73" t="s">
        <v>10</v>
      </c>
      <c r="D12" s="14" t="s">
        <v>15</v>
      </c>
      <c r="E12" s="75">
        <v>0.15</v>
      </c>
      <c r="F12" s="13" t="s">
        <v>17</v>
      </c>
      <c r="G12" s="13" t="s">
        <v>22</v>
      </c>
      <c r="H12" s="14"/>
    </row>
    <row r="13" spans="2:16" ht="25.5" x14ac:dyDescent="0.25">
      <c r="B13" s="13" t="s">
        <v>20</v>
      </c>
      <c r="C13" s="73"/>
      <c r="D13" s="14" t="s">
        <v>21</v>
      </c>
      <c r="E13" s="75"/>
      <c r="F13" s="13" t="s">
        <v>18</v>
      </c>
      <c r="G13" s="15">
        <f>O13</f>
        <v>15924621.95434848</v>
      </c>
      <c r="H13" s="16">
        <f>P13</f>
        <v>1194346.6465761359</v>
      </c>
      <c r="J13" s="8">
        <v>4</v>
      </c>
      <c r="K13" s="9">
        <v>0.15</v>
      </c>
      <c r="L13" s="10">
        <v>81225000</v>
      </c>
      <c r="M13" s="10">
        <f>[1]Vstupy_CBA!$B$21</f>
        <v>33451134.136954565</v>
      </c>
      <c r="N13" s="10">
        <f>L13-M13</f>
        <v>47773865.863045439</v>
      </c>
      <c r="O13" s="10">
        <f>(J13)*N13/12</f>
        <v>15924621.95434848</v>
      </c>
      <c r="P13" s="10">
        <f>K13*(J13-J11)*N13/12</f>
        <v>1194346.6465761359</v>
      </c>
    </row>
    <row r="14" spans="2:16" ht="63.75" x14ac:dyDescent="0.25">
      <c r="B14" s="23" t="s">
        <v>8</v>
      </c>
      <c r="C14" s="59" t="s">
        <v>10</v>
      </c>
      <c r="D14" s="32" t="s">
        <v>15</v>
      </c>
      <c r="E14" s="65">
        <v>0.1</v>
      </c>
      <c r="F14" s="23" t="s">
        <v>17</v>
      </c>
      <c r="G14" s="23" t="s">
        <v>25</v>
      </c>
      <c r="H14" s="33"/>
    </row>
    <row r="15" spans="2:16" ht="25.5" x14ac:dyDescent="0.25">
      <c r="B15" s="24" t="s">
        <v>23</v>
      </c>
      <c r="C15" s="60"/>
      <c r="D15" s="26" t="s">
        <v>24</v>
      </c>
      <c r="E15" s="66"/>
      <c r="F15" s="24" t="s">
        <v>18</v>
      </c>
      <c r="G15" s="34">
        <f>O15</f>
        <v>39811554.885871202</v>
      </c>
      <c r="H15" s="35">
        <f>P15</f>
        <v>1592462.1954348481</v>
      </c>
      <c r="J15" s="8">
        <v>10</v>
      </c>
      <c r="K15" s="9">
        <v>0.1</v>
      </c>
      <c r="L15" s="10">
        <v>81225000</v>
      </c>
      <c r="M15" s="10">
        <f>[1]Vstupy_CBA!$B$21</f>
        <v>33451134.136954565</v>
      </c>
      <c r="N15" s="10">
        <f>L15-M15</f>
        <v>47773865.863045439</v>
      </c>
      <c r="O15" s="10">
        <f>(J15)*N15/12</f>
        <v>39811554.885871202</v>
      </c>
      <c r="P15" s="10">
        <f>K15*(J15-J13-J11)*N15/12</f>
        <v>1592462.1954348481</v>
      </c>
    </row>
    <row r="16" spans="2:16" x14ac:dyDescent="0.25">
      <c r="B16" s="72" t="s">
        <v>26</v>
      </c>
      <c r="C16" s="72"/>
      <c r="D16" s="72"/>
      <c r="E16" s="72"/>
      <c r="F16" s="18"/>
      <c r="G16" s="19"/>
      <c r="H16" s="27">
        <f>P16</f>
        <v>4379271.037445832</v>
      </c>
      <c r="P16" s="11">
        <f>SUBTOTAL(9,P8:P15)</f>
        <v>4379271.037445832</v>
      </c>
    </row>
    <row r="17" spans="2:16" ht="63.75" x14ac:dyDescent="0.25">
      <c r="B17" s="59" t="s">
        <v>27</v>
      </c>
      <c r="C17" s="59" t="s">
        <v>28</v>
      </c>
      <c r="D17" s="61" t="s">
        <v>29</v>
      </c>
      <c r="E17" s="65">
        <v>0.05</v>
      </c>
      <c r="F17" s="59" t="s">
        <v>18</v>
      </c>
      <c r="G17" s="23" t="s">
        <v>30</v>
      </c>
      <c r="H17" s="25"/>
    </row>
    <row r="18" spans="2:16" x14ac:dyDescent="0.25">
      <c r="B18" s="73"/>
      <c r="C18" s="73"/>
      <c r="D18" s="74"/>
      <c r="E18" s="75"/>
      <c r="F18" s="73"/>
      <c r="G18" s="34">
        <f>O18</f>
        <v>47773865.863045432</v>
      </c>
      <c r="H18" s="35">
        <f>P18</f>
        <v>2388693.2931522718</v>
      </c>
      <c r="J18" s="8">
        <v>12</v>
      </c>
      <c r="K18" s="9">
        <v>0.05</v>
      </c>
      <c r="L18" s="10">
        <v>81225000</v>
      </c>
      <c r="M18" s="10">
        <f>[1]Vstupy_CBA!$B$21</f>
        <v>33451134.136954565</v>
      </c>
      <c r="N18" s="10">
        <f>L18-M18</f>
        <v>47773865.863045439</v>
      </c>
      <c r="O18" s="10">
        <f>J18*N18/12</f>
        <v>47773865.863045432</v>
      </c>
      <c r="P18" s="10">
        <f>K18*O18</f>
        <v>2388693.2931522718</v>
      </c>
    </row>
    <row r="19" spans="2:16" ht="63.75" x14ac:dyDescent="0.25">
      <c r="B19" s="73"/>
      <c r="C19" s="73"/>
      <c r="D19" s="74"/>
      <c r="E19" s="75"/>
      <c r="F19" s="73"/>
      <c r="G19" s="13" t="s">
        <v>31</v>
      </c>
      <c r="H19" s="20"/>
    </row>
    <row r="20" spans="2:16" x14ac:dyDescent="0.25">
      <c r="B20" s="60"/>
      <c r="C20" s="60"/>
      <c r="D20" s="62"/>
      <c r="E20" s="66"/>
      <c r="F20" s="60"/>
      <c r="G20" s="34">
        <f>O20</f>
        <v>600000</v>
      </c>
      <c r="H20" s="35">
        <f>P20</f>
        <v>30000</v>
      </c>
      <c r="J20" s="8"/>
      <c r="K20" s="9">
        <f>K18</f>
        <v>0.05</v>
      </c>
      <c r="L20" s="10"/>
      <c r="M20" s="10"/>
      <c r="N20" s="10"/>
      <c r="O20" s="10">
        <v>600000</v>
      </c>
      <c r="P20" s="10">
        <f>K20*O20</f>
        <v>30000</v>
      </c>
    </row>
    <row r="21" spans="2:16" x14ac:dyDescent="0.25">
      <c r="B21" s="67" t="s">
        <v>26</v>
      </c>
      <c r="C21" s="67"/>
      <c r="D21" s="67"/>
      <c r="E21" s="67"/>
      <c r="F21" s="28"/>
      <c r="G21" s="29"/>
      <c r="H21" s="41">
        <f>P21</f>
        <v>2418693.2931522718</v>
      </c>
      <c r="O21" s="6" t="s">
        <v>42</v>
      </c>
      <c r="P21" s="11">
        <f>SUBTOTAL(9,P17:P20)</f>
        <v>2418693.2931522718</v>
      </c>
    </row>
    <row r="22" spans="2:16" x14ac:dyDescent="0.25">
      <c r="B22" s="71" t="s">
        <v>32</v>
      </c>
      <c r="C22" s="71"/>
      <c r="D22" s="71"/>
      <c r="E22" s="71"/>
      <c r="F22" s="30"/>
      <c r="G22" s="31"/>
      <c r="H22" s="42">
        <f>P22</f>
        <v>6797964.3305981038</v>
      </c>
      <c r="O22" s="6" t="s">
        <v>43</v>
      </c>
      <c r="P22" s="11">
        <f>SUBTOTAL(9,P8:P21)</f>
        <v>6797964.3305981038</v>
      </c>
    </row>
    <row r="26" spans="2:16" x14ac:dyDescent="0.25">
      <c r="B26" s="78" t="s">
        <v>105</v>
      </c>
      <c r="C26" s="78"/>
      <c r="D26" s="78"/>
      <c r="E26" s="78"/>
      <c r="F26" s="78"/>
      <c r="G26" s="78"/>
    </row>
    <row r="27" spans="2:16" x14ac:dyDescent="0.25">
      <c r="B27" s="76" t="s">
        <v>0</v>
      </c>
      <c r="C27" s="76" t="s">
        <v>1</v>
      </c>
      <c r="D27" s="76" t="s">
        <v>2</v>
      </c>
      <c r="E27" s="37" t="s">
        <v>3</v>
      </c>
      <c r="F27" s="76" t="s">
        <v>5</v>
      </c>
      <c r="G27" s="76" t="s">
        <v>6</v>
      </c>
      <c r="H27" s="76" t="s">
        <v>7</v>
      </c>
    </row>
    <row r="28" spans="2:16" ht="54" x14ac:dyDescent="0.25">
      <c r="B28" s="77"/>
      <c r="C28" s="77"/>
      <c r="D28" s="77"/>
      <c r="E28" s="38" t="s">
        <v>4</v>
      </c>
      <c r="F28" s="77"/>
      <c r="G28" s="77"/>
      <c r="H28" s="77"/>
      <c r="J28" s="7" t="s">
        <v>35</v>
      </c>
      <c r="K28" s="7" t="s">
        <v>3</v>
      </c>
      <c r="L28" s="7" t="s">
        <v>34</v>
      </c>
      <c r="M28" s="7" t="s">
        <v>38</v>
      </c>
      <c r="N28" s="7" t="s">
        <v>39</v>
      </c>
      <c r="O28" s="7" t="s">
        <v>40</v>
      </c>
      <c r="P28" s="7" t="s">
        <v>41</v>
      </c>
    </row>
    <row r="29" spans="2:16" ht="102" x14ac:dyDescent="0.25">
      <c r="B29" s="73" t="s">
        <v>44</v>
      </c>
      <c r="C29" s="1" t="s">
        <v>45</v>
      </c>
      <c r="D29" s="74" t="s">
        <v>11</v>
      </c>
      <c r="E29" s="75">
        <v>0.01</v>
      </c>
      <c r="F29" s="73" t="s">
        <v>47</v>
      </c>
      <c r="G29" s="1" t="s">
        <v>48</v>
      </c>
      <c r="H29" s="17"/>
    </row>
    <row r="30" spans="2:16" ht="38.25" x14ac:dyDescent="0.25">
      <c r="B30" s="73"/>
      <c r="C30" s="13" t="s">
        <v>46</v>
      </c>
      <c r="D30" s="74"/>
      <c r="E30" s="75"/>
      <c r="F30" s="73"/>
      <c r="G30" s="15">
        <f>O30</f>
        <v>5000</v>
      </c>
      <c r="H30" s="16">
        <f>P30</f>
        <v>50</v>
      </c>
      <c r="J30" s="8"/>
      <c r="K30" s="9">
        <v>0.01</v>
      </c>
      <c r="L30" s="10"/>
      <c r="M30" s="10"/>
      <c r="N30" s="10"/>
      <c r="O30" s="10">
        <v>5000</v>
      </c>
      <c r="P30" s="10">
        <f>K30*O30</f>
        <v>50</v>
      </c>
    </row>
    <row r="31" spans="2:16" ht="63.75" x14ac:dyDescent="0.25">
      <c r="B31" s="59" t="s">
        <v>49</v>
      </c>
      <c r="C31" s="23" t="s">
        <v>28</v>
      </c>
      <c r="D31" s="61" t="s">
        <v>52</v>
      </c>
      <c r="E31" s="65">
        <v>0.02</v>
      </c>
      <c r="F31" s="59" t="s">
        <v>18</v>
      </c>
      <c r="G31" s="23" t="s">
        <v>53</v>
      </c>
      <c r="H31" s="25"/>
    </row>
    <row r="32" spans="2:16" x14ac:dyDescent="0.25">
      <c r="B32" s="73"/>
      <c r="C32" s="13" t="s">
        <v>50</v>
      </c>
      <c r="D32" s="74"/>
      <c r="E32" s="75"/>
      <c r="F32" s="73"/>
      <c r="G32" s="15">
        <f>O32</f>
        <v>71660798.794568166</v>
      </c>
      <c r="H32" s="16">
        <f>P32</f>
        <v>1433215.9758913633</v>
      </c>
      <c r="J32" s="8">
        <v>18</v>
      </c>
      <c r="K32" s="9">
        <v>0.02</v>
      </c>
      <c r="L32" s="10">
        <v>81225000</v>
      </c>
      <c r="M32" s="10">
        <f>[1]Vstupy_CBA!$B$21</f>
        <v>33451134.136954565</v>
      </c>
      <c r="N32" s="10">
        <f>L32-M32</f>
        <v>47773865.863045439</v>
      </c>
      <c r="O32" s="10">
        <f>J32*N32/12</f>
        <v>71660798.794568166</v>
      </c>
      <c r="P32" s="10">
        <f>K32*O32</f>
        <v>1433215.9758913633</v>
      </c>
    </row>
    <row r="33" spans="2:16" ht="63.75" x14ac:dyDescent="0.25">
      <c r="B33" s="73"/>
      <c r="C33" s="13" t="s">
        <v>51</v>
      </c>
      <c r="D33" s="74"/>
      <c r="E33" s="75"/>
      <c r="F33" s="73"/>
      <c r="G33" s="13" t="s">
        <v>31</v>
      </c>
      <c r="H33" s="20"/>
    </row>
    <row r="34" spans="2:16" x14ac:dyDescent="0.25">
      <c r="B34" s="60"/>
      <c r="C34" s="39"/>
      <c r="D34" s="62"/>
      <c r="E34" s="66"/>
      <c r="F34" s="60"/>
      <c r="G34" s="34">
        <f>O34</f>
        <v>600000</v>
      </c>
      <c r="H34" s="35">
        <f>P34</f>
        <v>12000</v>
      </c>
      <c r="J34" s="8"/>
      <c r="K34" s="9">
        <f>K32</f>
        <v>0.02</v>
      </c>
      <c r="L34" s="10"/>
      <c r="M34" s="10"/>
      <c r="N34" s="10"/>
      <c r="O34" s="10">
        <v>600000</v>
      </c>
      <c r="P34" s="10">
        <f>K34*O34</f>
        <v>12000</v>
      </c>
    </row>
    <row r="35" spans="2:16" ht="63.75" x14ac:dyDescent="0.25">
      <c r="B35" s="59" t="s">
        <v>54</v>
      </c>
      <c r="C35" s="23" t="s">
        <v>50</v>
      </c>
      <c r="D35" s="61" t="s">
        <v>55</v>
      </c>
      <c r="E35" s="65">
        <v>0.05</v>
      </c>
      <c r="F35" s="59" t="s">
        <v>18</v>
      </c>
      <c r="G35" s="23" t="s">
        <v>56</v>
      </c>
      <c r="H35" s="33"/>
    </row>
    <row r="36" spans="2:16" x14ac:dyDescent="0.25">
      <c r="B36" s="60"/>
      <c r="C36" s="24" t="s">
        <v>51</v>
      </c>
      <c r="D36" s="62"/>
      <c r="E36" s="66"/>
      <c r="F36" s="60"/>
      <c r="G36" s="34">
        <f>O36</f>
        <v>3981155.4885871201</v>
      </c>
      <c r="H36" s="35">
        <f>P36</f>
        <v>199057.77442935601</v>
      </c>
      <c r="J36" s="8">
        <v>1</v>
      </c>
      <c r="K36" s="9">
        <v>0.05</v>
      </c>
      <c r="L36" s="10">
        <v>81225000</v>
      </c>
      <c r="M36" s="10">
        <f>[1]Vstupy_CBA!$B$21</f>
        <v>33451134.136954565</v>
      </c>
      <c r="N36" s="10">
        <f>L36-M36</f>
        <v>47773865.863045439</v>
      </c>
      <c r="O36" s="10">
        <f>J36*N36/12</f>
        <v>3981155.4885871201</v>
      </c>
      <c r="P36" s="10">
        <f>K36*O36</f>
        <v>199057.77442935601</v>
      </c>
    </row>
    <row r="37" spans="2:16" ht="63.75" x14ac:dyDescent="0.25">
      <c r="B37" s="59" t="s">
        <v>57</v>
      </c>
      <c r="C37" s="23" t="s">
        <v>50</v>
      </c>
      <c r="D37" s="61" t="s">
        <v>58</v>
      </c>
      <c r="E37" s="65">
        <v>0.02</v>
      </c>
      <c r="F37" s="59" t="s">
        <v>59</v>
      </c>
      <c r="G37" s="23" t="s">
        <v>19</v>
      </c>
      <c r="H37" s="33"/>
    </row>
    <row r="38" spans="2:16" x14ac:dyDescent="0.25">
      <c r="B38" s="60"/>
      <c r="C38" s="24" t="s">
        <v>51</v>
      </c>
      <c r="D38" s="62"/>
      <c r="E38" s="66"/>
      <c r="F38" s="60"/>
      <c r="G38" s="34">
        <f>O38</f>
        <v>7962310.9771742402</v>
      </c>
      <c r="H38" s="35">
        <f>P38</f>
        <v>79623.109771742398</v>
      </c>
      <c r="J38" s="8">
        <v>2</v>
      </c>
      <c r="K38" s="9">
        <v>0.02</v>
      </c>
      <c r="L38" s="10">
        <v>81225000</v>
      </c>
      <c r="M38" s="10">
        <f>[1]Vstupy_CBA!$B$21</f>
        <v>33451134.136954565</v>
      </c>
      <c r="N38" s="10">
        <f>L38-M38</f>
        <v>47773865.863045439</v>
      </c>
      <c r="O38" s="10">
        <f>(J38)*N38/12</f>
        <v>7962310.9771742402</v>
      </c>
      <c r="P38" s="10">
        <f>K38*(J38-J36)*N38/12</f>
        <v>79623.109771742398</v>
      </c>
    </row>
    <row r="39" spans="2:16" ht="63.75" x14ac:dyDescent="0.25">
      <c r="B39" s="59" t="s">
        <v>60</v>
      </c>
      <c r="C39" s="23" t="s">
        <v>61</v>
      </c>
      <c r="D39" s="61" t="s">
        <v>52</v>
      </c>
      <c r="E39" s="65">
        <v>0.01</v>
      </c>
      <c r="F39" s="59" t="s">
        <v>59</v>
      </c>
      <c r="G39" s="23" t="s">
        <v>62</v>
      </c>
      <c r="H39" s="25"/>
    </row>
    <row r="40" spans="2:16" x14ac:dyDescent="0.25">
      <c r="B40" s="73"/>
      <c r="C40" s="13" t="s">
        <v>50</v>
      </c>
      <c r="D40" s="74"/>
      <c r="E40" s="75"/>
      <c r="F40" s="73"/>
      <c r="G40" s="15">
        <f>O40</f>
        <v>71660798.794568166</v>
      </c>
      <c r="H40" s="16">
        <f>P40</f>
        <v>597173.32328806794</v>
      </c>
      <c r="J40" s="8">
        <v>18</v>
      </c>
      <c r="K40" s="9">
        <v>0.01</v>
      </c>
      <c r="L40" s="10">
        <v>81225000</v>
      </c>
      <c r="M40" s="10">
        <f>[1]Vstupy_CBA!$B$21</f>
        <v>33451134.136954565</v>
      </c>
      <c r="N40" s="10">
        <f>L40-M40</f>
        <v>47773865.863045439</v>
      </c>
      <c r="O40" s="10">
        <f>(J40)*N40/12</f>
        <v>71660798.794568166</v>
      </c>
      <c r="P40" s="10">
        <f>K40*(J40-J38-J36)*N40/12</f>
        <v>597173.32328806794</v>
      </c>
    </row>
    <row r="41" spans="2:16" ht="63.75" x14ac:dyDescent="0.25">
      <c r="B41" s="73"/>
      <c r="C41" s="13" t="s">
        <v>51</v>
      </c>
      <c r="D41" s="74"/>
      <c r="E41" s="75"/>
      <c r="F41" s="73"/>
      <c r="G41" s="13" t="s">
        <v>31</v>
      </c>
      <c r="H41" s="20"/>
    </row>
    <row r="42" spans="2:16" x14ac:dyDescent="0.25">
      <c r="B42" s="60"/>
      <c r="C42" s="39"/>
      <c r="D42" s="62"/>
      <c r="E42" s="66"/>
      <c r="F42" s="60"/>
      <c r="G42" s="34">
        <f>O42</f>
        <v>600000</v>
      </c>
      <c r="H42" s="35">
        <f>P42</f>
        <v>6000</v>
      </c>
      <c r="J42" s="8"/>
      <c r="K42" s="9">
        <f>K40</f>
        <v>0.01</v>
      </c>
      <c r="L42" s="10"/>
      <c r="M42" s="10"/>
      <c r="N42" s="10"/>
      <c r="O42" s="10">
        <v>600000</v>
      </c>
      <c r="P42" s="10">
        <f>K42*O42</f>
        <v>6000</v>
      </c>
    </row>
    <row r="43" spans="2:16" ht="14.25" thickBot="1" x14ac:dyDescent="0.3">
      <c r="B43" s="79" t="s">
        <v>63</v>
      </c>
      <c r="C43" s="79"/>
      <c r="D43" s="79"/>
      <c r="E43" s="79"/>
      <c r="F43" s="79"/>
      <c r="G43" s="79"/>
      <c r="H43" s="40">
        <f>P43</f>
        <v>2327120.1833805298</v>
      </c>
      <c r="P43" s="11">
        <f>SUBTOTAL(9,P29:P42)</f>
        <v>2327120.1833805298</v>
      </c>
    </row>
  </sheetData>
  <mergeCells count="57">
    <mergeCell ref="B39:B42"/>
    <mergeCell ref="D39:D42"/>
    <mergeCell ref="E39:E42"/>
    <mergeCell ref="F39:F42"/>
    <mergeCell ref="B43:G43"/>
    <mergeCell ref="B26:G26"/>
    <mergeCell ref="B37:B38"/>
    <mergeCell ref="D37:D38"/>
    <mergeCell ref="E37:E38"/>
    <mergeCell ref="F37:F38"/>
    <mergeCell ref="B31:B34"/>
    <mergeCell ref="D31:D34"/>
    <mergeCell ref="E31:E34"/>
    <mergeCell ref="F31:F34"/>
    <mergeCell ref="B35:B36"/>
    <mergeCell ref="D35:D36"/>
    <mergeCell ref="E35:E36"/>
    <mergeCell ref="F35:F36"/>
    <mergeCell ref="H27:H28"/>
    <mergeCell ref="B29:B30"/>
    <mergeCell ref="D29:D30"/>
    <mergeCell ref="E29:E30"/>
    <mergeCell ref="F29:F30"/>
    <mergeCell ref="B27:B28"/>
    <mergeCell ref="C27:C28"/>
    <mergeCell ref="D27:D28"/>
    <mergeCell ref="F27:F28"/>
    <mergeCell ref="G27:G28"/>
    <mergeCell ref="B21:E21"/>
    <mergeCell ref="B5:F5"/>
    <mergeCell ref="B3:H3"/>
    <mergeCell ref="J3:P3"/>
    <mergeCell ref="B22:E22"/>
    <mergeCell ref="B16:E16"/>
    <mergeCell ref="B17:B20"/>
    <mergeCell ref="C17:C20"/>
    <mergeCell ref="D17:D20"/>
    <mergeCell ref="E17:E20"/>
    <mergeCell ref="F17:F20"/>
    <mergeCell ref="C10:C11"/>
    <mergeCell ref="E10:E11"/>
    <mergeCell ref="C12:C13"/>
    <mergeCell ref="E12:E13"/>
    <mergeCell ref="C14:C15"/>
    <mergeCell ref="E14:E15"/>
    <mergeCell ref="C8:C9"/>
    <mergeCell ref="D8:D9"/>
    <mergeCell ref="E8:E9"/>
    <mergeCell ref="F8:F9"/>
    <mergeCell ref="G8:G9"/>
    <mergeCell ref="H8:H9"/>
    <mergeCell ref="B6:B7"/>
    <mergeCell ref="C6:C7"/>
    <mergeCell ref="D6:D7"/>
    <mergeCell ref="F6:F7"/>
    <mergeCell ref="G6:G7"/>
    <mergeCell ref="H6:H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28"/>
  <sheetViews>
    <sheetView topLeftCell="C14" workbookViewId="0">
      <selection activeCell="G25" sqref="G25"/>
    </sheetView>
  </sheetViews>
  <sheetFormatPr defaultRowHeight="12.75" x14ac:dyDescent="0.2"/>
  <cols>
    <col min="2" max="7" width="15" customWidth="1"/>
    <col min="12" max="12" width="9.42578125" bestFit="1" customWidth="1"/>
    <col min="13" max="13" width="12" bestFit="1" customWidth="1"/>
    <col min="14" max="14" width="11" customWidth="1"/>
  </cols>
  <sheetData>
    <row r="5" spans="2:15" x14ac:dyDescent="0.2">
      <c r="B5" s="83" t="s">
        <v>104</v>
      </c>
      <c r="C5" s="83"/>
      <c r="D5" s="83"/>
      <c r="E5" s="83"/>
      <c r="F5" s="83"/>
      <c r="G5" s="83"/>
    </row>
    <row r="7" spans="2:15" x14ac:dyDescent="0.2">
      <c r="B7" s="76" t="s">
        <v>0</v>
      </c>
      <c r="C7" s="76" t="s">
        <v>1</v>
      </c>
      <c r="D7" s="37" t="s">
        <v>3</v>
      </c>
      <c r="E7" s="76" t="s">
        <v>5</v>
      </c>
      <c r="F7" s="76" t="s">
        <v>6</v>
      </c>
      <c r="G7" s="76" t="s">
        <v>7</v>
      </c>
    </row>
    <row r="8" spans="2:15" ht="54" x14ac:dyDescent="0.25">
      <c r="B8" s="77"/>
      <c r="C8" s="77"/>
      <c r="D8" s="38" t="s">
        <v>4</v>
      </c>
      <c r="E8" s="77"/>
      <c r="F8" s="77"/>
      <c r="G8" s="77"/>
      <c r="I8" s="7" t="s">
        <v>3</v>
      </c>
      <c r="J8" s="7" t="s">
        <v>83</v>
      </c>
      <c r="K8" s="7" t="s">
        <v>81</v>
      </c>
      <c r="L8" s="7" t="s">
        <v>82</v>
      </c>
      <c r="M8" s="7" t="s">
        <v>84</v>
      </c>
      <c r="N8" s="7" t="s">
        <v>40</v>
      </c>
      <c r="O8" s="7" t="s">
        <v>41</v>
      </c>
    </row>
    <row r="9" spans="2:15" ht="102" x14ac:dyDescent="0.2">
      <c r="B9" s="73" t="s">
        <v>64</v>
      </c>
      <c r="C9" s="1" t="s">
        <v>51</v>
      </c>
      <c r="D9" s="75">
        <v>0.02</v>
      </c>
      <c r="E9" s="73" t="s">
        <v>66</v>
      </c>
      <c r="F9" s="1" t="s">
        <v>67</v>
      </c>
      <c r="G9" s="17"/>
    </row>
    <row r="10" spans="2:15" ht="25.5" x14ac:dyDescent="0.2">
      <c r="B10" s="80"/>
      <c r="C10" s="1" t="s">
        <v>65</v>
      </c>
      <c r="D10" s="81"/>
      <c r="E10" s="80"/>
      <c r="F10" s="1"/>
      <c r="G10" s="2"/>
    </row>
    <row r="11" spans="2:15" ht="13.5" x14ac:dyDescent="0.25">
      <c r="B11" s="73"/>
      <c r="C11" s="49"/>
      <c r="D11" s="75"/>
      <c r="E11" s="73"/>
      <c r="F11" s="50">
        <f>N11</f>
        <v>4405138.4922032356</v>
      </c>
      <c r="G11" s="50">
        <f>O11</f>
        <v>88102.769844064707</v>
      </c>
      <c r="I11" s="9">
        <v>0.02</v>
      </c>
      <c r="J11" s="46">
        <v>0.995</v>
      </c>
      <c r="K11" s="48">
        <v>0.99</v>
      </c>
      <c r="L11" s="10">
        <f>SUM([2]Výber_mýta_P4Ba!$I$13:$M$14)*1000</f>
        <v>876622559.94842947</v>
      </c>
      <c r="M11" s="10">
        <f>K11*L11/J11</f>
        <v>872217421.45622623</v>
      </c>
      <c r="N11" s="10">
        <f>L11-M11</f>
        <v>4405138.4922032356</v>
      </c>
      <c r="O11" s="10">
        <f>N11*I11</f>
        <v>88102.769844064707</v>
      </c>
    </row>
    <row r="12" spans="2:15" ht="102" x14ac:dyDescent="0.2">
      <c r="B12" s="84" t="s">
        <v>68</v>
      </c>
      <c r="C12" s="51" t="s">
        <v>51</v>
      </c>
      <c r="D12" s="86">
        <v>0.02</v>
      </c>
      <c r="E12" s="84" t="s">
        <v>66</v>
      </c>
      <c r="F12" s="51" t="s">
        <v>67</v>
      </c>
      <c r="G12" s="52"/>
    </row>
    <row r="13" spans="2:15" ht="25.5" x14ac:dyDescent="0.25">
      <c r="B13" s="85"/>
      <c r="C13" s="53" t="s">
        <v>65</v>
      </c>
      <c r="D13" s="87"/>
      <c r="E13" s="85"/>
      <c r="F13" s="54">
        <f>N13</f>
        <v>3454702.7526035905</v>
      </c>
      <c r="G13" s="54">
        <f>O13</f>
        <v>69094.05505207181</v>
      </c>
      <c r="I13" s="9">
        <v>0.02</v>
      </c>
      <c r="J13" s="46">
        <v>0.99</v>
      </c>
      <c r="K13" s="48">
        <v>0.98</v>
      </c>
      <c r="L13" s="10">
        <f>SUM([2]Výber_mýta_P4Ba!$I$8:$M$10)*1000</f>
        <v>342015572.5077548</v>
      </c>
      <c r="M13" s="10">
        <f>K13*L13/J13</f>
        <v>338560869.75515121</v>
      </c>
      <c r="N13" s="10">
        <f>L13-M13</f>
        <v>3454702.7526035905</v>
      </c>
      <c r="O13" s="10">
        <f>N13*I13</f>
        <v>69094.05505207181</v>
      </c>
    </row>
    <row r="14" spans="2:15" ht="63.75" x14ac:dyDescent="0.2">
      <c r="B14" s="73" t="s">
        <v>69</v>
      </c>
      <c r="C14" s="1" t="s">
        <v>51</v>
      </c>
      <c r="D14" s="88">
        <v>5.0000000000000001E-3</v>
      </c>
      <c r="E14" s="73" t="s">
        <v>66</v>
      </c>
      <c r="F14" s="1" t="s">
        <v>85</v>
      </c>
      <c r="G14" s="17"/>
    </row>
    <row r="15" spans="2:15" ht="25.5" x14ac:dyDescent="0.25">
      <c r="B15" s="73"/>
      <c r="C15" s="13" t="s">
        <v>70</v>
      </c>
      <c r="D15" s="88"/>
      <c r="E15" s="73"/>
      <c r="F15" s="50">
        <f>N15</f>
        <v>3338734.6094689975</v>
      </c>
      <c r="G15" s="50">
        <f>O15</f>
        <v>16693.673047344986</v>
      </c>
      <c r="I15" s="9">
        <v>5.0000000000000001E-3</v>
      </c>
      <c r="J15" s="46"/>
      <c r="K15" s="48"/>
      <c r="L15" s="10">
        <f>SUM([2]Výber_mýta_P4Ba!$I$16:$M$16)</f>
        <v>1218638132.4561841</v>
      </c>
      <c r="M15" s="10"/>
      <c r="N15" s="10">
        <f>L15/365</f>
        <v>3338734.6094689975</v>
      </c>
      <c r="O15" s="10">
        <f>N15*I15</f>
        <v>16693.673047344986</v>
      </c>
    </row>
    <row r="16" spans="2:15" ht="102" x14ac:dyDescent="0.2">
      <c r="B16" s="84" t="s">
        <v>71</v>
      </c>
      <c r="C16" s="84" t="s">
        <v>72</v>
      </c>
      <c r="D16" s="86">
        <v>0.1</v>
      </c>
      <c r="E16" s="84"/>
      <c r="F16" s="51" t="s">
        <v>73</v>
      </c>
      <c r="G16" s="52"/>
    </row>
    <row r="17" spans="2:15" ht="63.75" x14ac:dyDescent="0.2">
      <c r="B17" s="73"/>
      <c r="C17" s="73"/>
      <c r="D17" s="75"/>
      <c r="E17" s="73"/>
      <c r="F17" s="13" t="s">
        <v>91</v>
      </c>
      <c r="G17" s="17"/>
    </row>
    <row r="18" spans="2:15" ht="25.5" x14ac:dyDescent="0.2">
      <c r="B18" s="73"/>
      <c r="C18" s="73"/>
      <c r="D18" s="75"/>
      <c r="E18" s="73"/>
      <c r="F18" s="13" t="s">
        <v>92</v>
      </c>
      <c r="G18" s="17"/>
    </row>
    <row r="19" spans="2:15" ht="81" x14ac:dyDescent="0.25">
      <c r="B19" s="73"/>
      <c r="C19" s="73"/>
      <c r="D19" s="75"/>
      <c r="E19" s="73"/>
      <c r="F19" s="13" t="s">
        <v>93</v>
      </c>
      <c r="G19" s="17"/>
      <c r="I19" s="7" t="s">
        <v>3</v>
      </c>
      <c r="J19" s="7" t="s">
        <v>88</v>
      </c>
      <c r="K19" s="7" t="s">
        <v>89</v>
      </c>
      <c r="L19" s="7" t="s">
        <v>87</v>
      </c>
      <c r="M19" s="7" t="s">
        <v>90</v>
      </c>
      <c r="N19" s="7" t="s">
        <v>40</v>
      </c>
      <c r="O19" s="7" t="s">
        <v>41</v>
      </c>
    </row>
    <row r="20" spans="2:15" ht="13.5" x14ac:dyDescent="0.25">
      <c r="B20" s="85"/>
      <c r="C20" s="85"/>
      <c r="D20" s="87"/>
      <c r="E20" s="85"/>
      <c r="F20" s="54">
        <f>N20</f>
        <v>3184404</v>
      </c>
      <c r="G20" s="54">
        <f>O20</f>
        <v>318440.40000000002</v>
      </c>
      <c r="I20" s="9">
        <v>0.1</v>
      </c>
      <c r="J20" s="10">
        <v>6</v>
      </c>
      <c r="K20" s="10">
        <f>SUM('[3]Zákaznícke služby (alt.1)'!$F$13,'[3]Palubné jednotky (alt.1)'!$F$10,'[3]Agenda SVM (alt.2)'!$F$100)</f>
        <v>102</v>
      </c>
      <c r="L20" s="10">
        <f>SUM('[3]Zákaznícke služby (alt.1)'!$G$13,'[3]Palubné jednotky (alt.1)'!$G$10,'[3]Agenda SVM (alt.2)'!$G$100)</f>
        <v>259154</v>
      </c>
      <c r="M20" s="10">
        <f>7744*K20</f>
        <v>789888</v>
      </c>
      <c r="N20" s="10">
        <f>J20*(M20-L20)</f>
        <v>3184404</v>
      </c>
      <c r="O20" s="10">
        <f>I20*N20</f>
        <v>318440.40000000002</v>
      </c>
    </row>
    <row r="21" spans="2:15" ht="54" x14ac:dyDescent="0.25">
      <c r="B21" s="84" t="s">
        <v>74</v>
      </c>
      <c r="C21" s="84" t="s">
        <v>75</v>
      </c>
      <c r="D21" s="86">
        <v>0.1</v>
      </c>
      <c r="E21" s="84" t="s">
        <v>76</v>
      </c>
      <c r="F21" s="84" t="s">
        <v>77</v>
      </c>
      <c r="G21" s="51" t="s">
        <v>78</v>
      </c>
      <c r="L21" s="7" t="s">
        <v>86</v>
      </c>
    </row>
    <row r="22" spans="2:15" ht="13.5" x14ac:dyDescent="0.25">
      <c r="B22" s="73"/>
      <c r="C22" s="73"/>
      <c r="D22" s="75"/>
      <c r="E22" s="73"/>
      <c r="F22" s="73"/>
      <c r="G22" s="50">
        <f>O22</f>
        <v>3345113.4136954565</v>
      </c>
      <c r="I22" s="9"/>
      <c r="J22" s="46"/>
      <c r="K22" s="48"/>
      <c r="L22" s="10">
        <f>5*[1]Vstupy_CBA!$B$21</f>
        <v>167255670.68477282</v>
      </c>
      <c r="M22" s="47">
        <v>0.02</v>
      </c>
      <c r="N22" s="46"/>
      <c r="O22" s="10">
        <f>L22*M22</f>
        <v>3345113.4136954565</v>
      </c>
    </row>
    <row r="23" spans="2:15" x14ac:dyDescent="0.2">
      <c r="B23" s="73"/>
      <c r="C23" s="73"/>
      <c r="D23" s="75"/>
      <c r="E23" s="73"/>
      <c r="F23" s="73"/>
      <c r="G23" s="13"/>
    </row>
    <row r="24" spans="2:15" x14ac:dyDescent="0.2">
      <c r="B24" s="85"/>
      <c r="C24" s="85"/>
      <c r="D24" s="87"/>
      <c r="E24" s="85"/>
      <c r="F24" s="85"/>
      <c r="G24" s="53"/>
    </row>
    <row r="25" spans="2:15" ht="13.5" x14ac:dyDescent="0.25">
      <c r="B25" s="82" t="s">
        <v>79</v>
      </c>
      <c r="C25" s="82"/>
      <c r="D25" s="82"/>
      <c r="E25" s="82"/>
      <c r="F25" s="82"/>
      <c r="G25" s="55">
        <f>O25</f>
        <v>3837444.3116389383</v>
      </c>
      <c r="O25" s="11">
        <f>SUBTOTAL(9,O9:O24)</f>
        <v>3837444.3116389383</v>
      </c>
    </row>
    <row r="28" spans="2:15" ht="36" x14ac:dyDescent="0.2">
      <c r="B28" s="45" t="s">
        <v>80</v>
      </c>
    </row>
  </sheetData>
  <mergeCells count="25">
    <mergeCell ref="B25:F25"/>
    <mergeCell ref="B5:G5"/>
    <mergeCell ref="B16:B20"/>
    <mergeCell ref="C16:C20"/>
    <mergeCell ref="D16:D20"/>
    <mergeCell ref="E16:E20"/>
    <mergeCell ref="B21:B24"/>
    <mergeCell ref="C21:C24"/>
    <mergeCell ref="D21:D24"/>
    <mergeCell ref="E21:E24"/>
    <mergeCell ref="F21:F24"/>
    <mergeCell ref="B12:B13"/>
    <mergeCell ref="D12:D13"/>
    <mergeCell ref="E12:E13"/>
    <mergeCell ref="B14:B15"/>
    <mergeCell ref="D14:D15"/>
    <mergeCell ref="G7:G8"/>
    <mergeCell ref="B9:B11"/>
    <mergeCell ref="D9:D11"/>
    <mergeCell ref="E9:E11"/>
    <mergeCell ref="E14:E15"/>
    <mergeCell ref="B7:B8"/>
    <mergeCell ref="C7:C8"/>
    <mergeCell ref="E7:E8"/>
    <mergeCell ref="F7:F8"/>
  </mergeCells>
  <hyperlinks>
    <hyperlink ref="F16" location="_ftn1" display="_ftn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D5" sqref="D5:D8"/>
    </sheetView>
  </sheetViews>
  <sheetFormatPr defaultRowHeight="12.75" x14ac:dyDescent="0.2"/>
  <cols>
    <col min="2" max="2" width="27" customWidth="1"/>
    <col min="3" max="3" width="21.85546875" customWidth="1"/>
    <col min="4" max="4" width="25.140625" customWidth="1"/>
  </cols>
  <sheetData>
    <row r="3" spans="2:4" ht="24.75" thickBot="1" x14ac:dyDescent="0.25">
      <c r="B3" s="5" t="s">
        <v>103</v>
      </c>
    </row>
    <row r="4" spans="2:4" ht="13.5" thickBot="1" x14ac:dyDescent="0.25">
      <c r="B4" s="56" t="s">
        <v>94</v>
      </c>
      <c r="C4" s="56" t="s">
        <v>95</v>
      </c>
      <c r="D4" s="56" t="s">
        <v>7</v>
      </c>
    </row>
    <row r="5" spans="2:4" ht="13.5" thickBot="1" x14ac:dyDescent="0.25">
      <c r="B5" s="4" t="s">
        <v>96</v>
      </c>
      <c r="C5" s="3" t="s">
        <v>97</v>
      </c>
      <c r="D5" s="57">
        <f>'Projektové riziká'!H22</f>
        <v>6797964.3305981038</v>
      </c>
    </row>
    <row r="6" spans="2:4" ht="26.25" thickBot="1" x14ac:dyDescent="0.25">
      <c r="B6" s="4" t="s">
        <v>98</v>
      </c>
      <c r="C6" s="3" t="s">
        <v>99</v>
      </c>
      <c r="D6" s="57">
        <f>'Projektové riziká'!H43</f>
        <v>2327120.1833805298</v>
      </c>
    </row>
    <row r="7" spans="2:4" ht="13.5" thickBot="1" x14ac:dyDescent="0.25">
      <c r="B7" s="4" t="s">
        <v>100</v>
      </c>
      <c r="C7" s="3" t="s">
        <v>101</v>
      </c>
      <c r="D7" s="57">
        <f>'Prevádzkové riziká'!G25</f>
        <v>3837444.3116389383</v>
      </c>
    </row>
    <row r="8" spans="2:4" ht="13.5" thickBot="1" x14ac:dyDescent="0.25">
      <c r="B8" s="43" t="s">
        <v>102</v>
      </c>
      <c r="C8" s="44"/>
      <c r="D8" s="58">
        <f>SUM(D5:D7)</f>
        <v>12962528.825617572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Projektové riziká</vt:lpstr>
      <vt:lpstr>Prevádzkové riziká</vt:lpstr>
      <vt:lpstr>Sumarizácia</vt:lpstr>
      <vt:lpstr>'Prevádzkové riziká'!_ftnref1</vt:lpstr>
      <vt:lpstr>'Projektové riziká'!_Ref40935592</vt:lpstr>
      <vt:lpstr>'Projektové riziká'!_Ref40935595</vt:lpstr>
      <vt:lpstr>'Prevádzkové riziká'!_Toc43481340</vt:lpstr>
      <vt:lpstr>Sumarizácia!_Toc43481341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Wedochovič, Luboš</cp:lastModifiedBy>
  <dcterms:created xsi:type="dcterms:W3CDTF">2020-07-28T10:12:16Z</dcterms:created>
  <dcterms:modified xsi:type="dcterms:W3CDTF">2020-08-05T13:23:56Z</dcterms:modified>
</cp:coreProperties>
</file>