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095" windowHeight="60" activeTab="1"/>
  </bookViews>
  <sheets>
    <sheet name="DSRC" sheetId="1" r:id="rId1"/>
    <sheet name="GNSS" sheetId="2" r:id="rId2"/>
    <sheet name="GNSS_O1" sheetId="3" r:id="rId3"/>
  </sheets>
  <externalReferences>
    <externalReference r:id="rId4"/>
    <externalReference r:id="rId5"/>
  </externalReferences>
  <definedNames>
    <definedName name="_Ref40618284" localSheetId="1">GNSS!$A$13</definedName>
    <definedName name="_Ref40618302" localSheetId="0">DSRC!$A$31</definedName>
    <definedName name="_Ref40618721" localSheetId="0">DSRC!$F$31</definedName>
    <definedName name="_Ref40620120" localSheetId="0">DSRC!$A$40</definedName>
    <definedName name="_Ref40620261" localSheetId="0">DSRC!$A$22</definedName>
    <definedName name="_Ref40621241" localSheetId="0">DSRC!$A$50</definedName>
    <definedName name="_Ref40624244" localSheetId="0">DSRC!$A$63</definedName>
    <definedName name="_Ref40624670" localSheetId="0">DSRC!$F$63</definedName>
    <definedName name="_Ref40633049" localSheetId="1">GNSS!$H$13</definedName>
    <definedName name="_Ref40633115" localSheetId="1">GNSS!$A$22</definedName>
    <definedName name="_Ref40633134" localSheetId="1">GNSS!$A$30</definedName>
    <definedName name="_Ref40633162" localSheetId="1">GNSS!$A$39</definedName>
    <definedName name="_Ref40633227" localSheetId="1">GNSS!$F$39</definedName>
    <definedName name="_Ref40633263" localSheetId="1">GNSS!$A$52</definedName>
    <definedName name="_Ref40633301" localSheetId="1">GNSS!$F$22</definedName>
    <definedName name="_Ref40633308" localSheetId="1">GNSS!$F$52</definedName>
    <definedName name="_Toc41042877" localSheetId="1">GNSS!$A$4</definedName>
    <definedName name="_Toc41042886" localSheetId="0">DSRC!$F$40</definedName>
    <definedName name="_Toc41042887" localSheetId="0">DSRC!$F$50</definedName>
    <definedName name="_Toc41042889" localSheetId="0">DSRC!$A$75</definedName>
    <definedName name="_Toc41042897" localSheetId="1">GNSS!$F$31</definedName>
    <definedName name="_Toc41042898" localSheetId="1">GNSS!$K$39</definedName>
    <definedName name="_Toc41042900" localSheetId="1">GNSS!$A$63</definedName>
    <definedName name="_Toc41042902" localSheetId="1">GNSS!$A$86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9" i="3" l="1"/>
  <c r="I50" i="3"/>
  <c r="J50" i="3"/>
  <c r="K50" i="3"/>
  <c r="L50" i="3"/>
  <c r="M50" i="3"/>
  <c r="N50" i="3"/>
  <c r="O50" i="3"/>
  <c r="P50" i="3"/>
  <c r="Q50" i="3"/>
  <c r="R50" i="3"/>
  <c r="S50" i="3"/>
  <c r="H50" i="3"/>
  <c r="D37" i="3"/>
  <c r="E104" i="2" l="1"/>
  <c r="S50" i="2" l="1"/>
  <c r="I47" i="2"/>
  <c r="I50" i="2" s="1"/>
  <c r="J47" i="2"/>
  <c r="J50" i="2" s="1"/>
  <c r="K47" i="2"/>
  <c r="K50" i="2" s="1"/>
  <c r="L47" i="2"/>
  <c r="L50" i="2" s="1"/>
  <c r="M47" i="2"/>
  <c r="M50" i="2" s="1"/>
  <c r="N47" i="2"/>
  <c r="N50" i="2" s="1"/>
  <c r="O47" i="2"/>
  <c r="O50" i="2" s="1"/>
  <c r="P47" i="2"/>
  <c r="P50" i="2" s="1"/>
  <c r="Q47" i="2"/>
  <c r="Q50" i="2" s="1"/>
  <c r="R47" i="2"/>
  <c r="R50" i="2" s="1"/>
  <c r="H47" i="2"/>
  <c r="D69" i="1" l="1"/>
  <c r="D56" i="2"/>
  <c r="D60" i="3"/>
  <c r="D59" i="3"/>
  <c r="D57" i="2" l="1"/>
  <c r="D34" i="2"/>
  <c r="W53" i="1" l="1"/>
  <c r="X53" i="1"/>
  <c r="Y53" i="1"/>
  <c r="Z53" i="1"/>
  <c r="AA53" i="1"/>
  <c r="AB53" i="1"/>
  <c r="AC53" i="1"/>
  <c r="AD53" i="1"/>
  <c r="AE53" i="1"/>
  <c r="AF53" i="1"/>
  <c r="W54" i="1"/>
  <c r="X54" i="1"/>
  <c r="Y54" i="1"/>
  <c r="Z54" i="1"/>
  <c r="AA54" i="1"/>
  <c r="AB54" i="1"/>
  <c r="AC54" i="1"/>
  <c r="AD54" i="1"/>
  <c r="AE54" i="1"/>
  <c r="AF54" i="1"/>
  <c r="V53" i="1"/>
  <c r="V54" i="1"/>
  <c r="U54" i="1"/>
  <c r="Q54" i="1"/>
  <c r="P54" i="1"/>
  <c r="O54" i="1"/>
  <c r="N54" i="1"/>
  <c r="M54" i="1"/>
  <c r="L54" i="1"/>
  <c r="K54" i="1"/>
  <c r="J54" i="1"/>
  <c r="I54" i="1"/>
  <c r="Q46" i="3"/>
  <c r="P46" i="3"/>
  <c r="O46" i="3"/>
  <c r="N46" i="3"/>
  <c r="M46" i="3"/>
  <c r="L46" i="3"/>
  <c r="K46" i="3"/>
  <c r="J46" i="3"/>
  <c r="I46" i="3"/>
  <c r="J43" i="2"/>
  <c r="K43" i="2"/>
  <c r="L43" i="2"/>
  <c r="M43" i="2"/>
  <c r="N43" i="2"/>
  <c r="O43" i="2"/>
  <c r="P43" i="2"/>
  <c r="Q43" i="2"/>
  <c r="I43" i="2"/>
  <c r="F93" i="1" l="1"/>
  <c r="G93" i="1"/>
  <c r="F94" i="1"/>
  <c r="G94" i="1"/>
  <c r="S93" i="1"/>
  <c r="F90" i="1"/>
  <c r="G90" i="1"/>
  <c r="F21" i="3" l="1"/>
  <c r="G10" i="3" l="1"/>
  <c r="H10" i="3"/>
  <c r="I10" i="3"/>
  <c r="J10" i="3"/>
  <c r="K10" i="3"/>
  <c r="L10" i="3"/>
  <c r="M10" i="3"/>
  <c r="N10" i="3"/>
  <c r="O10" i="3"/>
  <c r="P10" i="3"/>
  <c r="Q10" i="3"/>
  <c r="R10" i="3"/>
  <c r="F10" i="3"/>
  <c r="D20" i="3" s="1"/>
  <c r="G79" i="3"/>
  <c r="F79" i="3"/>
  <c r="S75" i="3"/>
  <c r="S71" i="3"/>
  <c r="R71" i="3"/>
  <c r="Q71" i="3"/>
  <c r="P71" i="3"/>
  <c r="O71" i="3"/>
  <c r="N71" i="3"/>
  <c r="M71" i="3"/>
  <c r="L71" i="3"/>
  <c r="K71" i="3"/>
  <c r="J71" i="3"/>
  <c r="I71" i="3"/>
  <c r="Q70" i="3"/>
  <c r="P70" i="3"/>
  <c r="P72" i="3" s="1"/>
  <c r="O70" i="3"/>
  <c r="N70" i="3"/>
  <c r="M70" i="3"/>
  <c r="L70" i="3"/>
  <c r="L72" i="3" s="1"/>
  <c r="K70" i="3"/>
  <c r="K72" i="3" s="1"/>
  <c r="J70" i="3"/>
  <c r="J72" i="3" s="1"/>
  <c r="I70" i="3"/>
  <c r="G63" i="3"/>
  <c r="F63" i="3"/>
  <c r="E62" i="3"/>
  <c r="S62" i="3" s="1"/>
  <c r="P61" i="3"/>
  <c r="O60" i="3"/>
  <c r="S59" i="3"/>
  <c r="L59" i="3"/>
  <c r="H58" i="3"/>
  <c r="H71" i="3" s="1"/>
  <c r="G52" i="3"/>
  <c r="F52" i="3"/>
  <c r="E51" i="3"/>
  <c r="H76" i="3"/>
  <c r="S49" i="3"/>
  <c r="S70" i="3" s="1"/>
  <c r="R49" i="3"/>
  <c r="R70" i="3" s="1"/>
  <c r="R72" i="3" s="1"/>
  <c r="N49" i="3"/>
  <c r="I49" i="3"/>
  <c r="H48" i="3"/>
  <c r="H70" i="3" s="1"/>
  <c r="I47" i="3"/>
  <c r="O49" i="3"/>
  <c r="J49" i="3"/>
  <c r="G39" i="3"/>
  <c r="F39" i="3"/>
  <c r="R38" i="3"/>
  <c r="Q38" i="3"/>
  <c r="P38" i="3"/>
  <c r="O38" i="3"/>
  <c r="N38" i="3"/>
  <c r="M38" i="3"/>
  <c r="L38" i="3"/>
  <c r="K38" i="3"/>
  <c r="J38" i="3"/>
  <c r="I38" i="3"/>
  <c r="H38" i="3"/>
  <c r="P37" i="3"/>
  <c r="P39" i="3" s="1"/>
  <c r="G31" i="3"/>
  <c r="F31" i="3"/>
  <c r="R9" i="3"/>
  <c r="Q9" i="3"/>
  <c r="P9" i="3"/>
  <c r="O9" i="3"/>
  <c r="N9" i="3"/>
  <c r="M9" i="3"/>
  <c r="L9" i="3"/>
  <c r="K9" i="3"/>
  <c r="J9" i="3"/>
  <c r="I9" i="3"/>
  <c r="H9" i="3"/>
  <c r="G9" i="3"/>
  <c r="F9" i="3"/>
  <c r="D19" i="3" s="1"/>
  <c r="R8" i="3"/>
  <c r="Q8" i="3"/>
  <c r="P8" i="3"/>
  <c r="O8" i="3"/>
  <c r="N8" i="3"/>
  <c r="M8" i="3"/>
  <c r="L8" i="3"/>
  <c r="K8" i="3"/>
  <c r="J8" i="3"/>
  <c r="I8" i="3"/>
  <c r="H8" i="3"/>
  <c r="G8" i="3"/>
  <c r="F8" i="3"/>
  <c r="D18" i="3" s="1"/>
  <c r="R7" i="3"/>
  <c r="Q7" i="3"/>
  <c r="P7" i="3"/>
  <c r="O7" i="3"/>
  <c r="N7" i="3"/>
  <c r="M7" i="3"/>
  <c r="L7" i="3"/>
  <c r="K7" i="3"/>
  <c r="J7" i="3"/>
  <c r="I7" i="3"/>
  <c r="H7" i="3"/>
  <c r="G7" i="3"/>
  <c r="F7" i="3"/>
  <c r="D17" i="3" s="1"/>
  <c r="R6" i="3"/>
  <c r="Q6" i="3"/>
  <c r="P6" i="3"/>
  <c r="O6" i="3"/>
  <c r="N6" i="3"/>
  <c r="M6" i="3"/>
  <c r="L6" i="3"/>
  <c r="K6" i="3"/>
  <c r="J6" i="3"/>
  <c r="I6" i="3"/>
  <c r="H6" i="3"/>
  <c r="G6" i="3"/>
  <c r="F6" i="3"/>
  <c r="D16" i="3" s="1"/>
  <c r="M20" i="3" l="1"/>
  <c r="H52" i="3"/>
  <c r="I72" i="3"/>
  <c r="Q72" i="3"/>
  <c r="K11" i="3"/>
  <c r="Q59" i="3"/>
  <c r="M72" i="3"/>
  <c r="P19" i="3"/>
  <c r="I76" i="3"/>
  <c r="R59" i="3"/>
  <c r="I59" i="3"/>
  <c r="I52" i="3"/>
  <c r="J59" i="3"/>
  <c r="K59" i="3"/>
  <c r="O72" i="3"/>
  <c r="L20" i="3"/>
  <c r="H11" i="3"/>
  <c r="K20" i="3"/>
  <c r="I11" i="3"/>
  <c r="Q11" i="3"/>
  <c r="J19" i="3"/>
  <c r="R20" i="3"/>
  <c r="J20" i="3"/>
  <c r="Q20" i="3"/>
  <c r="I20" i="3"/>
  <c r="O11" i="3"/>
  <c r="N11" i="3"/>
  <c r="P20" i="3"/>
  <c r="H20" i="3"/>
  <c r="H30" i="3" s="1"/>
  <c r="O20" i="3"/>
  <c r="G20" i="3"/>
  <c r="G11" i="3"/>
  <c r="L11" i="3"/>
  <c r="M11" i="3"/>
  <c r="P11" i="3"/>
  <c r="N20" i="3"/>
  <c r="K16" i="3"/>
  <c r="F11" i="3"/>
  <c r="J17" i="3"/>
  <c r="R17" i="3"/>
  <c r="R11" i="3"/>
  <c r="J11" i="3"/>
  <c r="L17" i="3"/>
  <c r="O18" i="3"/>
  <c r="N17" i="3"/>
  <c r="H17" i="3"/>
  <c r="H27" i="3" s="1"/>
  <c r="P17" i="3"/>
  <c r="N19" i="3"/>
  <c r="I19" i="3"/>
  <c r="H19" i="3"/>
  <c r="H29" i="3" s="1"/>
  <c r="Q17" i="3"/>
  <c r="H60" i="3"/>
  <c r="H61" i="3"/>
  <c r="O19" i="3"/>
  <c r="K17" i="3"/>
  <c r="N18" i="3"/>
  <c r="Q19" i="3"/>
  <c r="J60" i="3"/>
  <c r="O61" i="3"/>
  <c r="I17" i="3"/>
  <c r="R19" i="3"/>
  <c r="L60" i="3"/>
  <c r="M17" i="3"/>
  <c r="K19" i="3"/>
  <c r="M60" i="3"/>
  <c r="N60" i="3"/>
  <c r="L18" i="3"/>
  <c r="M19" i="3"/>
  <c r="P60" i="3"/>
  <c r="G19" i="3"/>
  <c r="R60" i="3"/>
  <c r="S72" i="3"/>
  <c r="N16" i="3"/>
  <c r="Q18" i="3"/>
  <c r="I18" i="3"/>
  <c r="Q37" i="3"/>
  <c r="Q39" i="3" s="1"/>
  <c r="I37" i="3"/>
  <c r="I39" i="3" s="1"/>
  <c r="M37" i="3"/>
  <c r="M39" i="3" s="1"/>
  <c r="L37" i="3"/>
  <c r="L39" i="3" s="1"/>
  <c r="K37" i="3"/>
  <c r="K39" i="3" s="1"/>
  <c r="R37" i="3"/>
  <c r="R39" i="3" s="1"/>
  <c r="J37" i="3"/>
  <c r="J39" i="3" s="1"/>
  <c r="G16" i="3"/>
  <c r="H16" i="3"/>
  <c r="M18" i="3"/>
  <c r="N37" i="3"/>
  <c r="N39" i="3" s="1"/>
  <c r="G18" i="3"/>
  <c r="K18" i="3"/>
  <c r="H37" i="3"/>
  <c r="H39" i="3" s="1"/>
  <c r="H75" i="3" s="1"/>
  <c r="J16" i="3"/>
  <c r="R16" i="3"/>
  <c r="H18" i="3"/>
  <c r="H28" i="3" s="1"/>
  <c r="P18" i="3"/>
  <c r="I16" i="3"/>
  <c r="O37" i="3"/>
  <c r="O39" i="3" s="1"/>
  <c r="M16" i="3"/>
  <c r="L16" i="3"/>
  <c r="J18" i="3"/>
  <c r="R18" i="3"/>
  <c r="O16" i="3"/>
  <c r="P16" i="3"/>
  <c r="R61" i="3"/>
  <c r="J61" i="3"/>
  <c r="Q61" i="3"/>
  <c r="N61" i="3"/>
  <c r="M61" i="3"/>
  <c r="L61" i="3"/>
  <c r="S61" i="3"/>
  <c r="K61" i="3"/>
  <c r="I61" i="3"/>
  <c r="N72" i="3"/>
  <c r="Q16" i="3"/>
  <c r="L19" i="3"/>
  <c r="M59" i="3"/>
  <c r="G17" i="3"/>
  <c r="O17" i="3"/>
  <c r="J47" i="3"/>
  <c r="N59" i="3"/>
  <c r="I60" i="3"/>
  <c r="Q60" i="3"/>
  <c r="O59" i="3"/>
  <c r="H59" i="3"/>
  <c r="P59" i="3"/>
  <c r="K60" i="3"/>
  <c r="S60" i="3"/>
  <c r="K27" i="3" l="1"/>
  <c r="L30" i="3"/>
  <c r="R28" i="3"/>
  <c r="O28" i="3"/>
  <c r="K29" i="3"/>
  <c r="Q30" i="3"/>
  <c r="N30" i="3"/>
  <c r="Q77" i="3"/>
  <c r="P29" i="3"/>
  <c r="O30" i="3"/>
  <c r="K49" i="3"/>
  <c r="J63" i="3"/>
  <c r="Q29" i="3"/>
  <c r="J29" i="3"/>
  <c r="K63" i="3"/>
  <c r="J30" i="3"/>
  <c r="M30" i="3"/>
  <c r="P30" i="3"/>
  <c r="R30" i="3"/>
  <c r="K30" i="3"/>
  <c r="I30" i="3"/>
  <c r="L29" i="3"/>
  <c r="R21" i="3"/>
  <c r="J21" i="3"/>
  <c r="H21" i="3"/>
  <c r="N29" i="3"/>
  <c r="I27" i="3"/>
  <c r="K21" i="3"/>
  <c r="G21" i="3"/>
  <c r="Q27" i="3"/>
  <c r="M21" i="3"/>
  <c r="R77" i="3"/>
  <c r="P21" i="3"/>
  <c r="I21" i="3"/>
  <c r="L21" i="3"/>
  <c r="Q21" i="3"/>
  <c r="O21" i="3"/>
  <c r="N21" i="3"/>
  <c r="L28" i="3"/>
  <c r="P28" i="3"/>
  <c r="O29" i="3"/>
  <c r="M27" i="3"/>
  <c r="S63" i="3"/>
  <c r="R27" i="3"/>
  <c r="M28" i="3"/>
  <c r="R63" i="3"/>
  <c r="O27" i="3"/>
  <c r="J27" i="3"/>
  <c r="S77" i="3"/>
  <c r="N27" i="3"/>
  <c r="J28" i="3"/>
  <c r="L77" i="3"/>
  <c r="I29" i="3"/>
  <c r="L27" i="3"/>
  <c r="I77" i="3"/>
  <c r="I63" i="3"/>
  <c r="R29" i="3"/>
  <c r="Q63" i="3"/>
  <c r="L26" i="3"/>
  <c r="H77" i="3"/>
  <c r="H78" i="3" s="1"/>
  <c r="H63" i="3"/>
  <c r="Q49" i="3"/>
  <c r="P49" i="3"/>
  <c r="J77" i="3"/>
  <c r="L63" i="3"/>
  <c r="P26" i="3"/>
  <c r="K47" i="3"/>
  <c r="N26" i="3"/>
  <c r="P77" i="3"/>
  <c r="P63" i="3"/>
  <c r="Q26" i="3"/>
  <c r="P27" i="3"/>
  <c r="R26" i="3"/>
  <c r="K77" i="3"/>
  <c r="O26" i="3"/>
  <c r="J26" i="3"/>
  <c r="O77" i="3"/>
  <c r="O63" i="3"/>
  <c r="M29" i="3"/>
  <c r="I26" i="3"/>
  <c r="M26" i="3"/>
  <c r="I28" i="3"/>
  <c r="N63" i="3"/>
  <c r="N77" i="3"/>
  <c r="M77" i="3"/>
  <c r="M63" i="3"/>
  <c r="K28" i="3"/>
  <c r="K26" i="3"/>
  <c r="H26" i="3"/>
  <c r="Q28" i="3"/>
  <c r="N28" i="3"/>
  <c r="N31" i="3" l="1"/>
  <c r="O31" i="3"/>
  <c r="L31" i="3"/>
  <c r="K31" i="3"/>
  <c r="R31" i="3"/>
  <c r="P31" i="3"/>
  <c r="L49" i="3"/>
  <c r="M49" i="3"/>
  <c r="J31" i="3"/>
  <c r="M31" i="3"/>
  <c r="H31" i="3"/>
  <c r="Q31" i="3"/>
  <c r="I31" i="3"/>
  <c r="J76" i="3"/>
  <c r="J52" i="3"/>
  <c r="L47" i="3"/>
  <c r="E71" i="1"/>
  <c r="S71" i="1" s="1"/>
  <c r="I80" i="1"/>
  <c r="J80" i="1"/>
  <c r="K80" i="1"/>
  <c r="L80" i="1"/>
  <c r="M80" i="1"/>
  <c r="N80" i="1"/>
  <c r="O80" i="1"/>
  <c r="P80" i="1"/>
  <c r="Q80" i="1"/>
  <c r="R80" i="1"/>
  <c r="S80" i="1"/>
  <c r="H80" i="1"/>
  <c r="H67" i="1"/>
  <c r="V55" i="1"/>
  <c r="W55" i="1"/>
  <c r="X55" i="1"/>
  <c r="Y55" i="1"/>
  <c r="Z55" i="1"/>
  <c r="AA55" i="1"/>
  <c r="AB55" i="1"/>
  <c r="AC55" i="1"/>
  <c r="AD55" i="1"/>
  <c r="AE55" i="1"/>
  <c r="AF55" i="1"/>
  <c r="U55" i="1"/>
  <c r="U53" i="1"/>
  <c r="I79" i="1"/>
  <c r="J79" i="1"/>
  <c r="K79" i="1"/>
  <c r="L79" i="1"/>
  <c r="M79" i="1"/>
  <c r="N79" i="1"/>
  <c r="O79" i="1"/>
  <c r="P79" i="1"/>
  <c r="Q79" i="1"/>
  <c r="R79" i="1"/>
  <c r="S79" i="1"/>
  <c r="H79" i="1"/>
  <c r="H85" i="1"/>
  <c r="F72" i="1"/>
  <c r="G72" i="1"/>
  <c r="F60" i="1"/>
  <c r="G60" i="1"/>
  <c r="H60" i="1"/>
  <c r="I67" i="2"/>
  <c r="J67" i="2"/>
  <c r="K67" i="2"/>
  <c r="L67" i="2"/>
  <c r="M67" i="2"/>
  <c r="N67" i="2"/>
  <c r="O67" i="2"/>
  <c r="P67" i="2"/>
  <c r="Q67" i="2"/>
  <c r="S68" i="2"/>
  <c r="F76" i="2"/>
  <c r="F78" i="2" s="1"/>
  <c r="G76" i="2"/>
  <c r="G78" i="2" s="1"/>
  <c r="F60" i="2"/>
  <c r="G60" i="2"/>
  <c r="E59" i="2"/>
  <c r="S59" i="2" s="1"/>
  <c r="E48" i="2"/>
  <c r="F88" i="1"/>
  <c r="G88" i="1"/>
  <c r="I68" i="1"/>
  <c r="J68" i="1"/>
  <c r="K68" i="1"/>
  <c r="L68" i="1"/>
  <c r="M68" i="1"/>
  <c r="N68" i="1"/>
  <c r="O68" i="1"/>
  <c r="P68" i="1"/>
  <c r="Q68" i="1"/>
  <c r="R68" i="1"/>
  <c r="S68" i="1"/>
  <c r="H68" i="1"/>
  <c r="K70" i="1"/>
  <c r="N69" i="1"/>
  <c r="D68" i="1"/>
  <c r="E59" i="1"/>
  <c r="S72" i="2"/>
  <c r="L56" i="2"/>
  <c r="J58" i="2"/>
  <c r="O57" i="2"/>
  <c r="P34" i="2"/>
  <c r="I35" i="2"/>
  <c r="J35" i="2"/>
  <c r="K35" i="2"/>
  <c r="L35" i="2"/>
  <c r="M35" i="2"/>
  <c r="N35" i="2"/>
  <c r="O35" i="2"/>
  <c r="P35" i="2"/>
  <c r="Q35" i="2"/>
  <c r="R35" i="2"/>
  <c r="H35" i="2"/>
  <c r="M75" i="3" l="1"/>
  <c r="J75" i="3"/>
  <c r="H69" i="3"/>
  <c r="H72" i="3" s="1"/>
  <c r="H79" i="3" s="1"/>
  <c r="O75" i="3"/>
  <c r="P75" i="3"/>
  <c r="I75" i="3"/>
  <c r="I78" i="3" s="1"/>
  <c r="I79" i="3" s="1"/>
  <c r="R75" i="3"/>
  <c r="L75" i="3"/>
  <c r="N75" i="3"/>
  <c r="Q75" i="3"/>
  <c r="K75" i="3"/>
  <c r="J78" i="3"/>
  <c r="J79" i="3" s="1"/>
  <c r="K76" i="3"/>
  <c r="K52" i="3"/>
  <c r="M47" i="3"/>
  <c r="S56" i="2"/>
  <c r="H56" i="2"/>
  <c r="R56" i="2"/>
  <c r="Q56" i="2"/>
  <c r="O56" i="2"/>
  <c r="N56" i="2"/>
  <c r="I56" i="2"/>
  <c r="P56" i="2"/>
  <c r="K56" i="2"/>
  <c r="J56" i="2"/>
  <c r="M56" i="2"/>
  <c r="P70" i="1"/>
  <c r="S69" i="1"/>
  <c r="K69" i="1"/>
  <c r="R70" i="1"/>
  <c r="J70" i="1"/>
  <c r="M69" i="1"/>
  <c r="Q70" i="1"/>
  <c r="I70" i="1"/>
  <c r="L69" i="1"/>
  <c r="N70" i="1"/>
  <c r="N72" i="1" s="1"/>
  <c r="Q69" i="1"/>
  <c r="I69" i="1"/>
  <c r="H70" i="1"/>
  <c r="M70" i="1"/>
  <c r="P69" i="1"/>
  <c r="O70" i="1"/>
  <c r="R69" i="1"/>
  <c r="J69" i="1"/>
  <c r="H69" i="1"/>
  <c r="L70" i="1"/>
  <c r="O69" i="1"/>
  <c r="S70" i="1"/>
  <c r="S58" i="2"/>
  <c r="S57" i="2"/>
  <c r="O58" i="2"/>
  <c r="N58" i="2"/>
  <c r="M58" i="2"/>
  <c r="Q58" i="2"/>
  <c r="I58" i="2"/>
  <c r="P58" i="2"/>
  <c r="L58" i="2"/>
  <c r="H58" i="2"/>
  <c r="K58" i="2"/>
  <c r="R58" i="2"/>
  <c r="H57" i="2"/>
  <c r="K57" i="2"/>
  <c r="Q57" i="2"/>
  <c r="I57" i="2"/>
  <c r="N57" i="2"/>
  <c r="P57" i="2"/>
  <c r="M57" i="2"/>
  <c r="L57" i="2"/>
  <c r="R57" i="2"/>
  <c r="J57" i="2"/>
  <c r="M34" i="2"/>
  <c r="L34" i="2"/>
  <c r="K34" i="2"/>
  <c r="R34" i="2"/>
  <c r="J34" i="2"/>
  <c r="O34" i="2"/>
  <c r="N34" i="2"/>
  <c r="Q34" i="2"/>
  <c r="I34" i="2"/>
  <c r="H34" i="2"/>
  <c r="K78" i="3" l="1"/>
  <c r="K79" i="3" s="1"/>
  <c r="O74" i="2"/>
  <c r="L76" i="3"/>
  <c r="L78" i="3" s="1"/>
  <c r="L79" i="3" s="1"/>
  <c r="L52" i="3"/>
  <c r="N47" i="3"/>
  <c r="N86" i="1"/>
  <c r="O72" i="1"/>
  <c r="O86" i="1"/>
  <c r="P72" i="1"/>
  <c r="P86" i="1"/>
  <c r="I86" i="1"/>
  <c r="I72" i="1"/>
  <c r="H86" i="1"/>
  <c r="H72" i="1"/>
  <c r="Q86" i="1"/>
  <c r="Q72" i="1"/>
  <c r="K86" i="1"/>
  <c r="K72" i="1"/>
  <c r="M86" i="1"/>
  <c r="M72" i="1"/>
  <c r="J72" i="1"/>
  <c r="J86" i="1"/>
  <c r="S86" i="1"/>
  <c r="R86" i="1"/>
  <c r="R72" i="1"/>
  <c r="L86" i="1"/>
  <c r="L72" i="1"/>
  <c r="S72" i="1"/>
  <c r="M60" i="2"/>
  <c r="M74" i="2"/>
  <c r="S74" i="2"/>
  <c r="S60" i="2"/>
  <c r="Q74" i="2"/>
  <c r="Q60" i="2"/>
  <c r="P60" i="2"/>
  <c r="P74" i="2"/>
  <c r="J74" i="2"/>
  <c r="J60" i="2"/>
  <c r="K60" i="2"/>
  <c r="K74" i="2"/>
  <c r="N60" i="2"/>
  <c r="N74" i="2"/>
  <c r="I74" i="2"/>
  <c r="I60" i="2"/>
  <c r="R60" i="2"/>
  <c r="R74" i="2"/>
  <c r="H74" i="2"/>
  <c r="O60" i="2"/>
  <c r="L60" i="2"/>
  <c r="L74" i="2"/>
  <c r="M76" i="3" l="1"/>
  <c r="M78" i="3" s="1"/>
  <c r="M79" i="3" s="1"/>
  <c r="M52" i="3"/>
  <c r="O47" i="3"/>
  <c r="R68" i="2"/>
  <c r="Q68" i="2"/>
  <c r="P68" i="2"/>
  <c r="O68" i="2"/>
  <c r="N68" i="2"/>
  <c r="M68" i="2"/>
  <c r="L68" i="2"/>
  <c r="K68" i="2"/>
  <c r="J68" i="2"/>
  <c r="I68" i="2"/>
  <c r="H55" i="2"/>
  <c r="G49" i="2"/>
  <c r="F49" i="2"/>
  <c r="H73" i="2"/>
  <c r="S46" i="2"/>
  <c r="R46" i="2"/>
  <c r="N46" i="2"/>
  <c r="I46" i="2"/>
  <c r="H45" i="2"/>
  <c r="I44" i="2"/>
  <c r="G36" i="2"/>
  <c r="F36" i="2"/>
  <c r="G28" i="2"/>
  <c r="F28" i="2"/>
  <c r="F19" i="2"/>
  <c r="R9" i="2"/>
  <c r="Q9" i="2"/>
  <c r="P9" i="2"/>
  <c r="O9" i="2"/>
  <c r="N9" i="2"/>
  <c r="M9" i="2"/>
  <c r="L9" i="2"/>
  <c r="K9" i="2"/>
  <c r="J9" i="2"/>
  <c r="I9" i="2"/>
  <c r="H9" i="2"/>
  <c r="G9" i="2"/>
  <c r="F9" i="2"/>
  <c r="D18" i="2" s="1"/>
  <c r="R8" i="2"/>
  <c r="Q8" i="2"/>
  <c r="P8" i="2"/>
  <c r="O8" i="2"/>
  <c r="N8" i="2"/>
  <c r="M8" i="2"/>
  <c r="L8" i="2"/>
  <c r="K8" i="2"/>
  <c r="J8" i="2"/>
  <c r="I8" i="2"/>
  <c r="H8" i="2"/>
  <c r="G8" i="2"/>
  <c r="F8" i="2"/>
  <c r="D17" i="2" s="1"/>
  <c r="R7" i="2"/>
  <c r="Q7" i="2"/>
  <c r="P7" i="2"/>
  <c r="O7" i="2"/>
  <c r="N7" i="2"/>
  <c r="M7" i="2"/>
  <c r="L7" i="2"/>
  <c r="K7" i="2"/>
  <c r="J7" i="2"/>
  <c r="I7" i="2"/>
  <c r="H7" i="2"/>
  <c r="G7" i="2"/>
  <c r="F7" i="2"/>
  <c r="D16" i="2" s="1"/>
  <c r="R6" i="2"/>
  <c r="Q6" i="2"/>
  <c r="P6" i="2"/>
  <c r="O6" i="2"/>
  <c r="N6" i="2"/>
  <c r="M6" i="2"/>
  <c r="L6" i="2"/>
  <c r="K6" i="2"/>
  <c r="J6" i="2"/>
  <c r="I6" i="2"/>
  <c r="H6" i="2"/>
  <c r="G6" i="2"/>
  <c r="F6" i="2"/>
  <c r="H66" i="1"/>
  <c r="N76" i="3" l="1"/>
  <c r="N78" i="3" s="1"/>
  <c r="N52" i="3"/>
  <c r="P47" i="3"/>
  <c r="I73" i="2"/>
  <c r="H49" i="2"/>
  <c r="H67" i="2"/>
  <c r="H68" i="2"/>
  <c r="H60" i="2"/>
  <c r="R67" i="2"/>
  <c r="S67" i="2"/>
  <c r="S69" i="2" s="1"/>
  <c r="K16" i="2"/>
  <c r="G18" i="2"/>
  <c r="J10" i="2"/>
  <c r="R10" i="2"/>
  <c r="L16" i="2"/>
  <c r="M16" i="2"/>
  <c r="I18" i="2"/>
  <c r="M10" i="2"/>
  <c r="I17" i="2"/>
  <c r="Q16" i="2"/>
  <c r="M18" i="2"/>
  <c r="O18" i="2"/>
  <c r="K17" i="2"/>
  <c r="H18" i="2"/>
  <c r="H27" i="2" s="1"/>
  <c r="J46" i="2"/>
  <c r="Q18" i="2"/>
  <c r="J18" i="2"/>
  <c r="N17" i="2"/>
  <c r="K10" i="2"/>
  <c r="O17" i="2"/>
  <c r="G16" i="2"/>
  <c r="O16" i="2"/>
  <c r="Q17" i="2"/>
  <c r="K18" i="2"/>
  <c r="M17" i="2"/>
  <c r="G17" i="2"/>
  <c r="F10" i="2"/>
  <c r="N10" i="2"/>
  <c r="H16" i="2"/>
  <c r="H25" i="2" s="1"/>
  <c r="P16" i="2"/>
  <c r="P25" i="2" s="1"/>
  <c r="J17" i="2"/>
  <c r="R17" i="2"/>
  <c r="L18" i="2"/>
  <c r="P17" i="2"/>
  <c r="I16" i="2"/>
  <c r="H17" i="2"/>
  <c r="H26" i="2" s="1"/>
  <c r="H10" i="2"/>
  <c r="P10" i="2"/>
  <c r="L17" i="2"/>
  <c r="P18" i="2"/>
  <c r="O10" i="2"/>
  <c r="N16" i="2"/>
  <c r="R18" i="2"/>
  <c r="O46" i="2"/>
  <c r="Q10" i="2"/>
  <c r="G10" i="2"/>
  <c r="N18" i="2"/>
  <c r="I10" i="2"/>
  <c r="J16" i="2"/>
  <c r="R16" i="2"/>
  <c r="L10" i="2"/>
  <c r="D15" i="2"/>
  <c r="L15" i="2" s="1"/>
  <c r="J44" i="2"/>
  <c r="H58" i="1"/>
  <c r="I57" i="1"/>
  <c r="S57" i="1"/>
  <c r="H56" i="1"/>
  <c r="I55" i="1"/>
  <c r="I58" i="1" s="1"/>
  <c r="B106" i="2" l="1"/>
  <c r="S85" i="1"/>
  <c r="S60" i="1"/>
  <c r="I85" i="1"/>
  <c r="I60" i="1"/>
  <c r="S81" i="2"/>
  <c r="I49" i="2"/>
  <c r="O52" i="3"/>
  <c r="O76" i="3"/>
  <c r="O78" i="3" s="1"/>
  <c r="O79" i="3" s="1"/>
  <c r="Q47" i="3"/>
  <c r="N79" i="3"/>
  <c r="K27" i="2"/>
  <c r="K46" i="2"/>
  <c r="R27" i="2"/>
  <c r="N27" i="2"/>
  <c r="M25" i="2"/>
  <c r="L25" i="2"/>
  <c r="R25" i="2"/>
  <c r="P27" i="2"/>
  <c r="N25" i="2"/>
  <c r="P26" i="2"/>
  <c r="O25" i="2"/>
  <c r="N26" i="2"/>
  <c r="J27" i="2"/>
  <c r="I25" i="2"/>
  <c r="J26" i="2"/>
  <c r="J25" i="2"/>
  <c r="Q26" i="2"/>
  <c r="O27" i="2"/>
  <c r="K25" i="2"/>
  <c r="Q27" i="2"/>
  <c r="I26" i="2"/>
  <c r="L27" i="2"/>
  <c r="M26" i="2"/>
  <c r="I27" i="2"/>
  <c r="M27" i="2"/>
  <c r="K26" i="2"/>
  <c r="L26" i="2"/>
  <c r="R26" i="2"/>
  <c r="O26" i="2"/>
  <c r="Q25" i="2"/>
  <c r="O15" i="2"/>
  <c r="H15" i="2"/>
  <c r="G15" i="2"/>
  <c r="G19" i="2" s="1"/>
  <c r="N15" i="2"/>
  <c r="L19" i="2"/>
  <c r="K44" i="2"/>
  <c r="J73" i="2"/>
  <c r="J15" i="2"/>
  <c r="Q15" i="2"/>
  <c r="R15" i="2"/>
  <c r="K15" i="2"/>
  <c r="M15" i="2"/>
  <c r="M24" i="2" s="1"/>
  <c r="P46" i="2"/>
  <c r="P15" i="2"/>
  <c r="I15" i="2"/>
  <c r="R57" i="1"/>
  <c r="M57" i="1"/>
  <c r="N57" i="1"/>
  <c r="L57" i="1"/>
  <c r="J57" i="1"/>
  <c r="K57" i="1"/>
  <c r="J55" i="1"/>
  <c r="F37" i="1"/>
  <c r="G37" i="1"/>
  <c r="D33" i="1"/>
  <c r="K60" i="1" l="1"/>
  <c r="K85" i="1"/>
  <c r="J60" i="1"/>
  <c r="J85" i="1"/>
  <c r="L60" i="1"/>
  <c r="L85" i="1"/>
  <c r="N85" i="1"/>
  <c r="N60" i="1"/>
  <c r="M60" i="1"/>
  <c r="M85" i="1"/>
  <c r="R85" i="1"/>
  <c r="R60" i="1"/>
  <c r="P76" i="3"/>
  <c r="P78" i="3" s="1"/>
  <c r="P79" i="3" s="1"/>
  <c r="P52" i="3"/>
  <c r="R47" i="3"/>
  <c r="M46" i="2"/>
  <c r="J49" i="2"/>
  <c r="L46" i="2"/>
  <c r="Q46" i="2"/>
  <c r="I24" i="2"/>
  <c r="Q24" i="2"/>
  <c r="D34" i="1"/>
  <c r="E34" i="1" s="1"/>
  <c r="E33" i="1"/>
  <c r="P24" i="2"/>
  <c r="R24" i="2"/>
  <c r="K24" i="2"/>
  <c r="L24" i="2"/>
  <c r="L28" i="2" s="1"/>
  <c r="N19" i="2"/>
  <c r="N24" i="2"/>
  <c r="H19" i="2"/>
  <c r="H24" i="2"/>
  <c r="H28" i="2" s="1"/>
  <c r="J24" i="2"/>
  <c r="O19" i="2"/>
  <c r="O24" i="2"/>
  <c r="O28" i="2" s="1"/>
  <c r="P19" i="2"/>
  <c r="K19" i="2"/>
  <c r="Q19" i="2"/>
  <c r="J19" i="2"/>
  <c r="M19" i="2"/>
  <c r="O36" i="2"/>
  <c r="N36" i="2"/>
  <c r="L44" i="2"/>
  <c r="K49" i="2"/>
  <c r="H36" i="2"/>
  <c r="H72" i="2" s="1"/>
  <c r="L36" i="2"/>
  <c r="R19" i="2"/>
  <c r="I19" i="2"/>
  <c r="P57" i="1"/>
  <c r="O57" i="1"/>
  <c r="Q57" i="1"/>
  <c r="K55" i="1"/>
  <c r="J58" i="1"/>
  <c r="D35" i="1"/>
  <c r="Q85" i="1" l="1"/>
  <c r="Q60" i="1"/>
  <c r="O60" i="1"/>
  <c r="O85" i="1"/>
  <c r="P60" i="1"/>
  <c r="P85" i="1"/>
  <c r="S51" i="3"/>
  <c r="Q76" i="3"/>
  <c r="Q78" i="3" s="1"/>
  <c r="Q79" i="3" s="1"/>
  <c r="Q52" i="3"/>
  <c r="H66" i="2"/>
  <c r="H69" i="2" s="1"/>
  <c r="H81" i="2" s="1"/>
  <c r="O69" i="2"/>
  <c r="O81" i="2" s="1"/>
  <c r="L69" i="2"/>
  <c r="L81" i="2" s="1"/>
  <c r="K73" i="2"/>
  <c r="D36" i="1"/>
  <c r="E36" i="1" s="1"/>
  <c r="E35" i="1"/>
  <c r="L72" i="2"/>
  <c r="O72" i="2"/>
  <c r="P36" i="2"/>
  <c r="P28" i="2"/>
  <c r="M36" i="2"/>
  <c r="M28" i="2"/>
  <c r="J36" i="2"/>
  <c r="J28" i="2"/>
  <c r="R28" i="2"/>
  <c r="R36" i="2"/>
  <c r="L49" i="2"/>
  <c r="M44" i="2"/>
  <c r="N28" i="2"/>
  <c r="Q36" i="2"/>
  <c r="Q28" i="2"/>
  <c r="K36" i="2"/>
  <c r="K28" i="2"/>
  <c r="I36" i="2"/>
  <c r="I28" i="2"/>
  <c r="L55" i="1"/>
  <c r="K58" i="1"/>
  <c r="R76" i="3" l="1"/>
  <c r="R78" i="3" s="1"/>
  <c r="R79" i="3" s="1"/>
  <c r="R52" i="3"/>
  <c r="S52" i="3"/>
  <c r="S76" i="3"/>
  <c r="M69" i="2"/>
  <c r="M81" i="2" s="1"/>
  <c r="P69" i="2"/>
  <c r="P81" i="2" s="1"/>
  <c r="Q69" i="2"/>
  <c r="Q81" i="2" s="1"/>
  <c r="N69" i="2"/>
  <c r="N81" i="2" s="1"/>
  <c r="I69" i="2"/>
  <c r="I81" i="2" s="1"/>
  <c r="K69" i="2"/>
  <c r="K81" i="2" s="1"/>
  <c r="R69" i="2"/>
  <c r="R81" i="2" s="1"/>
  <c r="J69" i="2"/>
  <c r="J81" i="2" s="1"/>
  <c r="R72" i="2"/>
  <c r="L73" i="2"/>
  <c r="L75" i="2" s="1"/>
  <c r="K72" i="2"/>
  <c r="K75" i="2" s="1"/>
  <c r="Q72" i="2"/>
  <c r="M72" i="2"/>
  <c r="P72" i="2"/>
  <c r="I72" i="2"/>
  <c r="I75" i="2" s="1"/>
  <c r="J72" i="2"/>
  <c r="J75" i="2" s="1"/>
  <c r="N72" i="2"/>
  <c r="N44" i="2"/>
  <c r="M55" i="1"/>
  <c r="L58" i="1"/>
  <c r="G47" i="1"/>
  <c r="F47" i="1"/>
  <c r="D97" i="2" l="1"/>
  <c r="D89" i="2"/>
  <c r="J76" i="2"/>
  <c r="J78" i="2" s="1"/>
  <c r="J82" i="2"/>
  <c r="I76" i="2"/>
  <c r="I78" i="2" s="1"/>
  <c r="I82" i="2"/>
  <c r="K76" i="2"/>
  <c r="K78" i="2" s="1"/>
  <c r="K82" i="2"/>
  <c r="L76" i="2"/>
  <c r="L78" i="2" s="1"/>
  <c r="L82" i="2"/>
  <c r="S78" i="3"/>
  <c r="M49" i="2"/>
  <c r="M73" i="2"/>
  <c r="M75" i="2" s="1"/>
  <c r="O44" i="2"/>
  <c r="N55" i="1"/>
  <c r="M58" i="1"/>
  <c r="M76" i="2" l="1"/>
  <c r="M78" i="2" s="1"/>
  <c r="M82" i="2"/>
  <c r="N73" i="2"/>
  <c r="N75" i="2" s="1"/>
  <c r="N49" i="2"/>
  <c r="P44" i="2"/>
  <c r="O55" i="1"/>
  <c r="N58" i="1"/>
  <c r="N76" i="2" l="1"/>
  <c r="N78" i="2" s="1"/>
  <c r="N82" i="2"/>
  <c r="O49" i="2"/>
  <c r="O73" i="2"/>
  <c r="O75" i="2" s="1"/>
  <c r="Q44" i="2"/>
  <c r="P55" i="1"/>
  <c r="O58" i="1"/>
  <c r="O76" i="2" l="1"/>
  <c r="O78" i="2" s="1"/>
  <c r="O82" i="2"/>
  <c r="P49" i="2"/>
  <c r="P73" i="2"/>
  <c r="P75" i="2" s="1"/>
  <c r="R44" i="2"/>
  <c r="Q55" i="1"/>
  <c r="P58" i="1"/>
  <c r="E105" i="2" l="1"/>
  <c r="E106" i="2"/>
  <c r="E107" i="2" s="1"/>
  <c r="P76" i="2"/>
  <c r="P78" i="2" s="1"/>
  <c r="P82" i="2"/>
  <c r="S48" i="2"/>
  <c r="Q49" i="2"/>
  <c r="Q73" i="2"/>
  <c r="Q75" i="2" s="1"/>
  <c r="R55" i="1"/>
  <c r="S59" i="1" s="1"/>
  <c r="Q58" i="1"/>
  <c r="Q76" i="2" l="1"/>
  <c r="Q78" i="2" s="1"/>
  <c r="Q82" i="2"/>
  <c r="S49" i="2"/>
  <c r="S73" i="2"/>
  <c r="R49" i="2"/>
  <c r="R73" i="2"/>
  <c r="R75" i="2" s="1"/>
  <c r="R58" i="1"/>
  <c r="R76" i="2" l="1"/>
  <c r="R78" i="2" s="1"/>
  <c r="R82" i="2"/>
  <c r="S75" i="2"/>
  <c r="F25" i="1"/>
  <c r="F26" i="1"/>
  <c r="F27" i="1"/>
  <c r="F24" i="1"/>
  <c r="S82" i="2" l="1"/>
  <c r="S76" i="2"/>
  <c r="S78" i="2" s="1"/>
  <c r="F28" i="1"/>
  <c r="G9" i="1" l="1"/>
  <c r="H9" i="1"/>
  <c r="I9" i="1"/>
  <c r="J9" i="1"/>
  <c r="K9" i="1"/>
  <c r="L9" i="1"/>
  <c r="M9" i="1"/>
  <c r="N9" i="1"/>
  <c r="O9" i="1"/>
  <c r="P9" i="1"/>
  <c r="Q9" i="1"/>
  <c r="R9" i="1"/>
  <c r="F9" i="1"/>
  <c r="D18" i="1" s="1"/>
  <c r="G8" i="1"/>
  <c r="H8" i="1"/>
  <c r="I8" i="1"/>
  <c r="J8" i="1"/>
  <c r="K8" i="1"/>
  <c r="L8" i="1"/>
  <c r="M8" i="1"/>
  <c r="N8" i="1"/>
  <c r="O8" i="1"/>
  <c r="P8" i="1"/>
  <c r="Q8" i="1"/>
  <c r="R8" i="1"/>
  <c r="F8" i="1"/>
  <c r="D17" i="1" s="1"/>
  <c r="G7" i="1"/>
  <c r="H7" i="1"/>
  <c r="I7" i="1"/>
  <c r="J7" i="1"/>
  <c r="K7" i="1"/>
  <c r="L7" i="1"/>
  <c r="M7" i="1"/>
  <c r="N7" i="1"/>
  <c r="O7" i="1"/>
  <c r="P7" i="1"/>
  <c r="Q7" i="1"/>
  <c r="R7" i="1"/>
  <c r="F7" i="1"/>
  <c r="D16" i="1" s="1"/>
  <c r="G6" i="1"/>
  <c r="H6" i="1"/>
  <c r="I6" i="1"/>
  <c r="J6" i="1"/>
  <c r="K6" i="1"/>
  <c r="L6" i="1"/>
  <c r="M6" i="1"/>
  <c r="N6" i="1"/>
  <c r="O6" i="1"/>
  <c r="P6" i="1"/>
  <c r="Q6" i="1"/>
  <c r="R6" i="1"/>
  <c r="F6" i="1"/>
  <c r="D15" i="1" s="1"/>
  <c r="F19" i="1"/>
  <c r="O17" i="1" l="1"/>
  <c r="O26" i="1" s="1"/>
  <c r="N17" i="1"/>
  <c r="N26" i="1" s="1"/>
  <c r="Q16" i="1"/>
  <c r="Q25" i="1" s="1"/>
  <c r="Q44" i="1" s="1"/>
  <c r="H16" i="1"/>
  <c r="H25" i="1" s="1"/>
  <c r="H34" i="1" s="1"/>
  <c r="O16" i="1"/>
  <c r="O25" i="1" s="1"/>
  <c r="P16" i="1"/>
  <c r="P25" i="1" s="1"/>
  <c r="I16" i="1"/>
  <c r="I25" i="1" s="1"/>
  <c r="G17" i="1"/>
  <c r="G26" i="1" s="1"/>
  <c r="G16" i="1"/>
  <c r="G25" i="1" s="1"/>
  <c r="K15" i="1"/>
  <c r="K24" i="1" s="1"/>
  <c r="R15" i="1"/>
  <c r="R24" i="1" s="1"/>
  <c r="J15" i="1"/>
  <c r="J24" i="1" s="1"/>
  <c r="Q15" i="1"/>
  <c r="Q24" i="1" s="1"/>
  <c r="I15" i="1"/>
  <c r="I24" i="1" s="1"/>
  <c r="P15" i="1"/>
  <c r="P24" i="1" s="1"/>
  <c r="O15" i="1"/>
  <c r="O24" i="1" s="1"/>
  <c r="G15" i="1"/>
  <c r="G24" i="1" s="1"/>
  <c r="M18" i="1"/>
  <c r="M27" i="1" s="1"/>
  <c r="M17" i="1"/>
  <c r="M26" i="1" s="1"/>
  <c r="H15" i="1"/>
  <c r="H24" i="1" s="1"/>
  <c r="H43" i="1" s="1"/>
  <c r="O45" i="1"/>
  <c r="N15" i="1"/>
  <c r="N24" i="1" s="1"/>
  <c r="L18" i="1"/>
  <c r="L27" i="1" s="1"/>
  <c r="K18" i="1"/>
  <c r="K27" i="1" s="1"/>
  <c r="N16" i="1"/>
  <c r="L17" i="1"/>
  <c r="L26" i="1" s="1"/>
  <c r="R18" i="1"/>
  <c r="R27" i="1" s="1"/>
  <c r="J18" i="1"/>
  <c r="J27" i="1" s="1"/>
  <c r="M16" i="1"/>
  <c r="M25" i="1" s="1"/>
  <c r="K17" i="1"/>
  <c r="K26" i="1" s="1"/>
  <c r="Q18" i="1"/>
  <c r="Q27" i="1" s="1"/>
  <c r="I18" i="1"/>
  <c r="I27" i="1" s="1"/>
  <c r="L16" i="1"/>
  <c r="L25" i="1" s="1"/>
  <c r="R17" i="1"/>
  <c r="R26" i="1" s="1"/>
  <c r="J17" i="1"/>
  <c r="J26" i="1" s="1"/>
  <c r="P18" i="1"/>
  <c r="P27" i="1" s="1"/>
  <c r="H18" i="1"/>
  <c r="H27" i="1" s="1"/>
  <c r="M15" i="1"/>
  <c r="K16" i="1"/>
  <c r="K25" i="1" s="1"/>
  <c r="Q17" i="1"/>
  <c r="Q26" i="1" s="1"/>
  <c r="I17" i="1"/>
  <c r="I26" i="1" s="1"/>
  <c r="O18" i="1"/>
  <c r="O27" i="1" s="1"/>
  <c r="G18" i="1"/>
  <c r="G27" i="1" s="1"/>
  <c r="L15" i="1"/>
  <c r="R16" i="1"/>
  <c r="R25" i="1" s="1"/>
  <c r="J16" i="1"/>
  <c r="J25" i="1" s="1"/>
  <c r="P17" i="1"/>
  <c r="P26" i="1" s="1"/>
  <c r="P35" i="1" s="1"/>
  <c r="H17" i="1"/>
  <c r="H26" i="1" s="1"/>
  <c r="N18" i="1"/>
  <c r="N27" i="1" s="1"/>
  <c r="I10" i="1"/>
  <c r="O35" i="1" l="1"/>
  <c r="M34" i="1"/>
  <c r="N45" i="1"/>
  <c r="H44" i="1"/>
  <c r="J34" i="1"/>
  <c r="P34" i="1"/>
  <c r="I34" i="1"/>
  <c r="N36" i="1"/>
  <c r="I35" i="1"/>
  <c r="K34" i="1"/>
  <c r="P44" i="1"/>
  <c r="G28" i="1"/>
  <c r="Q34" i="1"/>
  <c r="I46" i="1"/>
  <c r="I36" i="1"/>
  <c r="O43" i="1"/>
  <c r="O33" i="1"/>
  <c r="Q46" i="1"/>
  <c r="Q36" i="1"/>
  <c r="K46" i="1"/>
  <c r="K36" i="1"/>
  <c r="P43" i="1"/>
  <c r="P33" i="1"/>
  <c r="K45" i="1"/>
  <c r="K35" i="1"/>
  <c r="I43" i="1"/>
  <c r="I33" i="1"/>
  <c r="L36" i="1"/>
  <c r="Q43" i="1"/>
  <c r="Q33" i="1"/>
  <c r="S25" i="1"/>
  <c r="S34" i="1" s="1"/>
  <c r="R34" i="1"/>
  <c r="P36" i="1"/>
  <c r="I44" i="1"/>
  <c r="J43" i="1"/>
  <c r="J33" i="1"/>
  <c r="O44" i="1"/>
  <c r="O36" i="1"/>
  <c r="J45" i="1"/>
  <c r="J35" i="1"/>
  <c r="J36" i="1"/>
  <c r="N43" i="1"/>
  <c r="M45" i="1"/>
  <c r="M35" i="1"/>
  <c r="R43" i="1"/>
  <c r="S24" i="1"/>
  <c r="S33" i="1" s="1"/>
  <c r="R33" i="1"/>
  <c r="R46" i="1"/>
  <c r="S27" i="1"/>
  <c r="S36" i="1" s="1"/>
  <c r="R36" i="1"/>
  <c r="M46" i="1"/>
  <c r="M36" i="1"/>
  <c r="R45" i="1"/>
  <c r="S26" i="1"/>
  <c r="S35" i="1" s="1"/>
  <c r="R35" i="1"/>
  <c r="Q35" i="1"/>
  <c r="L44" i="1"/>
  <c r="L34" i="1"/>
  <c r="L35" i="1"/>
  <c r="K43" i="1"/>
  <c r="K33" i="1"/>
  <c r="N35" i="1"/>
  <c r="H33" i="1"/>
  <c r="K19" i="1"/>
  <c r="L45" i="1"/>
  <c r="P45" i="1"/>
  <c r="O46" i="1"/>
  <c r="J44" i="1"/>
  <c r="H36" i="1"/>
  <c r="H46" i="1"/>
  <c r="R44" i="1"/>
  <c r="N46" i="1"/>
  <c r="H35" i="1"/>
  <c r="H45" i="1"/>
  <c r="I28" i="1"/>
  <c r="I45" i="1"/>
  <c r="K28" i="1"/>
  <c r="K44" i="1"/>
  <c r="M44" i="1"/>
  <c r="P46" i="1"/>
  <c r="J46" i="1"/>
  <c r="L46" i="1"/>
  <c r="Q45" i="1"/>
  <c r="M24" i="1"/>
  <c r="N33" i="1" s="1"/>
  <c r="M19" i="1"/>
  <c r="G19" i="1"/>
  <c r="H19" i="1"/>
  <c r="P19" i="1"/>
  <c r="O19" i="1"/>
  <c r="Q28" i="1"/>
  <c r="R19" i="1"/>
  <c r="J19" i="1"/>
  <c r="R28" i="1"/>
  <c r="O28" i="1"/>
  <c r="I19" i="1"/>
  <c r="N25" i="1"/>
  <c r="N19" i="1"/>
  <c r="L24" i="1"/>
  <c r="L19" i="1"/>
  <c r="Q19" i="1"/>
  <c r="J28" i="1"/>
  <c r="P28" i="1"/>
  <c r="H28" i="1"/>
  <c r="O10" i="1"/>
  <c r="Q10" i="1"/>
  <c r="J10" i="1"/>
  <c r="M10" i="1"/>
  <c r="R10" i="1"/>
  <c r="L10" i="1"/>
  <c r="H10" i="1"/>
  <c r="G10" i="1"/>
  <c r="K10" i="1"/>
  <c r="F10" i="1"/>
  <c r="P10" i="1"/>
  <c r="N10" i="1"/>
  <c r="S43" i="1" l="1"/>
  <c r="S37" i="1"/>
  <c r="S84" i="1" s="1"/>
  <c r="S81" i="1" s="1"/>
  <c r="S28" i="1"/>
  <c r="M43" i="1"/>
  <c r="M33" i="1"/>
  <c r="L43" i="1"/>
  <c r="L33" i="1"/>
  <c r="N44" i="1"/>
  <c r="S44" i="1" s="1"/>
  <c r="N34" i="1"/>
  <c r="S46" i="1"/>
  <c r="S45" i="1"/>
  <c r="O34" i="1"/>
  <c r="H47" i="1"/>
  <c r="H84" i="1" s="1"/>
  <c r="H87" i="1" s="1"/>
  <c r="H94" i="1" s="1"/>
  <c r="P37" i="1"/>
  <c r="P78" i="1" s="1"/>
  <c r="P81" i="1" s="1"/>
  <c r="P93" i="1" s="1"/>
  <c r="H37" i="1"/>
  <c r="H78" i="1" s="1"/>
  <c r="H81" i="1" s="1"/>
  <c r="H93" i="1" s="1"/>
  <c r="Q47" i="1"/>
  <c r="Q84" i="1" s="1"/>
  <c r="Q87" i="1" s="1"/>
  <c r="Q94" i="1" s="1"/>
  <c r="I47" i="1"/>
  <c r="I84" i="1" s="1"/>
  <c r="I87" i="1" s="1"/>
  <c r="I94" i="1" s="1"/>
  <c r="J47" i="1"/>
  <c r="J84" i="1" s="1"/>
  <c r="J87" i="1" s="1"/>
  <c r="J94" i="1" s="1"/>
  <c r="K47" i="1"/>
  <c r="K84" i="1" s="1"/>
  <c r="K87" i="1" s="1"/>
  <c r="K94" i="1" s="1"/>
  <c r="J37" i="1"/>
  <c r="J78" i="1" s="1"/>
  <c r="J81" i="1" s="1"/>
  <c r="J93" i="1" s="1"/>
  <c r="Q37" i="1"/>
  <c r="Q78" i="1" s="1"/>
  <c r="Q81" i="1" s="1"/>
  <c r="Q93" i="1" s="1"/>
  <c r="I37" i="1"/>
  <c r="I78" i="1" s="1"/>
  <c r="I81" i="1" s="1"/>
  <c r="I93" i="1" s="1"/>
  <c r="R37" i="1"/>
  <c r="R78" i="1" s="1"/>
  <c r="R81" i="1" s="1"/>
  <c r="R93" i="1" s="1"/>
  <c r="M28" i="1"/>
  <c r="N28" i="1"/>
  <c r="K37" i="1"/>
  <c r="K78" i="1" s="1"/>
  <c r="K81" i="1" s="1"/>
  <c r="K93" i="1" s="1"/>
  <c r="L28" i="1"/>
  <c r="R47" i="1"/>
  <c r="R84" i="1" s="1"/>
  <c r="R87" i="1" s="1"/>
  <c r="R94" i="1" s="1"/>
  <c r="J88" i="1" l="1"/>
  <c r="J90" i="1" s="1"/>
  <c r="Q88" i="1"/>
  <c r="Q90" i="1" s="1"/>
  <c r="R88" i="1"/>
  <c r="R90" i="1" s="1"/>
  <c r="H88" i="1"/>
  <c r="H90" i="1" s="1"/>
  <c r="K88" i="1"/>
  <c r="K90" i="1" s="1"/>
  <c r="I88" i="1"/>
  <c r="I90" i="1" s="1"/>
  <c r="N47" i="1"/>
  <c r="N84" i="1" s="1"/>
  <c r="N87" i="1" s="1"/>
  <c r="N94" i="1" s="1"/>
  <c r="N37" i="1"/>
  <c r="N78" i="1" s="1"/>
  <c r="N81" i="1" s="1"/>
  <c r="N93" i="1" s="1"/>
  <c r="O47" i="1"/>
  <c r="O84" i="1" s="1"/>
  <c r="O87" i="1" s="1"/>
  <c r="O94" i="1" s="1"/>
  <c r="M47" i="1"/>
  <c r="M84" i="1" s="1"/>
  <c r="M87" i="1" s="1"/>
  <c r="M94" i="1" s="1"/>
  <c r="M37" i="1"/>
  <c r="M78" i="1" s="1"/>
  <c r="M81" i="1" s="1"/>
  <c r="M93" i="1" s="1"/>
  <c r="L37" i="1"/>
  <c r="L78" i="1" s="1"/>
  <c r="L81" i="1" s="1"/>
  <c r="L93" i="1" s="1"/>
  <c r="L47" i="1"/>
  <c r="L84" i="1" s="1"/>
  <c r="L87" i="1" s="1"/>
  <c r="S47" i="1"/>
  <c r="S87" i="1" s="1"/>
  <c r="P47" i="1"/>
  <c r="P84" i="1" s="1"/>
  <c r="P87" i="1" s="1"/>
  <c r="O37" i="1"/>
  <c r="O78" i="1" s="1"/>
  <c r="O81" i="1" s="1"/>
  <c r="O93" i="1" s="1"/>
  <c r="D88" i="2" l="1"/>
  <c r="P88" i="1"/>
  <c r="P90" i="1" s="1"/>
  <c r="P94" i="1"/>
  <c r="E96" i="2"/>
  <c r="L94" i="1"/>
  <c r="S88" i="1"/>
  <c r="S90" i="1" s="1"/>
  <c r="B88" i="2" s="1"/>
  <c r="S94" i="1"/>
  <c r="D96" i="2"/>
  <c r="M88" i="1"/>
  <c r="M90" i="1" s="1"/>
  <c r="N88" i="1"/>
  <c r="N90" i="1" s="1"/>
  <c r="O88" i="1"/>
  <c r="O90" i="1" s="1"/>
  <c r="L88" i="1"/>
  <c r="L90" i="1" s="1"/>
  <c r="E88" i="2" l="1"/>
  <c r="B96" i="2"/>
  <c r="H75" i="2"/>
  <c r="H82" i="2" s="1"/>
  <c r="E89" i="2" s="1"/>
  <c r="G82" i="2" l="1"/>
  <c r="G81" i="2"/>
  <c r="F82" i="2"/>
  <c r="F81" i="2"/>
  <c r="H76" i="2"/>
  <c r="H78" i="2" s="1"/>
  <c r="B89" i="2" s="1"/>
  <c r="E97" i="2"/>
  <c r="B97" i="2" l="1"/>
  <c r="C97" i="2" l="1"/>
  <c r="C96" i="2"/>
  <c r="C89" i="2"/>
  <c r="C88" i="2"/>
</calcChain>
</file>

<file path=xl/sharedStrings.xml><?xml version="1.0" encoding="utf-8"?>
<sst xmlns="http://schemas.openxmlformats.org/spreadsheetml/2006/main" count="286" uniqueCount="123">
  <si>
    <t>Dĺžka VÚC</t>
  </si>
  <si>
    <t>Diaľnice</t>
  </si>
  <si>
    <t>Rýchlostné cesty</t>
  </si>
  <si>
    <t>Cesty I. triedy, súbežné s diaľnicami a rýchlostnými cestami</t>
  </si>
  <si>
    <t>Cesty I. triedy, ktoré nie sú súbežné s diaľnicami a rýchlostnými cestami</t>
  </si>
  <si>
    <t>Počet Mýtnych úsekov na VÚC</t>
  </si>
  <si>
    <t>Geo-model v.6.50</t>
  </si>
  <si>
    <t>Priemerná dĺžka Mýtneho úseku (2020)
[km]</t>
  </si>
  <si>
    <t>Portál 2×2</t>
  </si>
  <si>
    <t>Portál 2×(2+1)</t>
  </si>
  <si>
    <t>2× Stĺpik</t>
  </si>
  <si>
    <t>Konfigurácia</t>
  </si>
  <si>
    <t>Pokrytie smerov jazdy</t>
  </si>
  <si>
    <t>Ref. hodnota</t>
  </si>
  <si>
    <t>Počet Mýtnych zariadení (brán) na VÚC (RSE)</t>
  </si>
  <si>
    <t>Výdavky [Eur]</t>
  </si>
  <si>
    <t>Investičné výdavky [Eur]</t>
  </si>
  <si>
    <t>Výdavky na prevádzku a údržbu Mýtnych zariadení (brán) na VÚC (RSE)</t>
  </si>
  <si>
    <t>Prevádzka [Eur/mesiac]</t>
  </si>
  <si>
    <t>Údržba 
[Eur/mesiac]</t>
  </si>
  <si>
    <t>Počet mesiacov prevádzky</t>
  </si>
  <si>
    <t>Palubné jednotky</t>
  </si>
  <si>
    <t>Dodávka 
[Eur]</t>
  </si>
  <si>
    <t>Prevádzka 
[Eur/mesiac]</t>
  </si>
  <si>
    <t>Výdavky na prevádzku OBU</t>
  </si>
  <si>
    <t>Centrálny systém zberu a spracovania dát</t>
  </si>
  <si>
    <t>Dodávka a implementácia systému zberu a spracovania dát</t>
  </si>
  <si>
    <t>Investičné výdavky</t>
  </si>
  <si>
    <t>Mýtne zariadenia na VÚC (RSE)</t>
  </si>
  <si>
    <t>Centrálny systém</t>
  </si>
  <si>
    <t>Spolu investičné výdavky</t>
  </si>
  <si>
    <t>Prevádzkové výdavky</t>
  </si>
  <si>
    <t>Spolu prevádzkové výdavky</t>
  </si>
  <si>
    <t>Spolu</t>
  </si>
  <si>
    <t>Spolu výdavky [tis. Eur]</t>
  </si>
  <si>
    <t>Model výdavkov - vybudovanie a prevádzka Mikrovlnného systému</t>
  </si>
  <si>
    <t>Model výdavkov - vybudovanie a prevádzka Satelitného systému</t>
  </si>
  <si>
    <t>Definícia geografických objektov v digitálnej mape</t>
  </si>
  <si>
    <t>Výdavky na definicíu geografických objektov v digitálnej mape</t>
  </si>
  <si>
    <t>Výdavky na správu geografických objektov v digitálnej mape</t>
  </si>
  <si>
    <t>Výdavky [Eur/mesiac]</t>
  </si>
  <si>
    <t>Priestorové zabezpečenie, ostatné výdavky oddelenia</t>
  </si>
  <si>
    <t>Model výdavkov - celkové náklady na vlastníctvo</t>
  </si>
  <si>
    <t>Mikrovlnný systém</t>
  </si>
  <si>
    <t>Miera inflácie (HICP)</t>
  </si>
  <si>
    <t>Zdroj: Príloha 14</t>
  </si>
  <si>
    <t>Zdroj: odhad výdavkov na skúšobné jazdy a testovanie detekcie polohy vozidiel v reálnej premávke, priemerné výdavky na 1 mýtny úsek</t>
  </si>
  <si>
    <t>Zdroj: Cena satelitných OBU v ČR, cena OBU indikovaná v PTK</t>
  </si>
  <si>
    <t>Zdroj: kvalifikovaný odhad, Príloha 14</t>
  </si>
  <si>
    <t xml:space="preserve">Osobné výdavky, prevádzka </t>
  </si>
  <si>
    <t>Priestorové zabezpečenie (housing ICT), služby</t>
  </si>
  <si>
    <t>Zdroj: sumarizácia údajov z tab. vyššie</t>
  </si>
  <si>
    <t>Výdavky na výstavbu a likvidáciu Mýtnych zariadení (brán) na VÚC (RSE)</t>
  </si>
  <si>
    <t>Likvidácia
[Eur]</t>
  </si>
  <si>
    <t>Index</t>
  </si>
  <si>
    <t>Celkové výdavky Projektu za Etapu 1, 2 a 3</t>
  </si>
  <si>
    <t>Výdavky na likvidáciu OBU</t>
  </si>
  <si>
    <t>Likvidácia 
[Eur]</t>
  </si>
  <si>
    <t>Ekologická likvidácia centrálneho systému</t>
  </si>
  <si>
    <t>Počiatočná dodávka OBU, počet kusov</t>
  </si>
  <si>
    <t>Prevádzka OBU, počet kusov</t>
  </si>
  <si>
    <t>Výdavky na obstaranie nových OBU, počiatočná dodávka</t>
  </si>
  <si>
    <t>Výdavky na obstaranie nových OBU, priebežné dodávky</t>
  </si>
  <si>
    <t xml:space="preserve">Výdavky na ekologickú likvidáciu </t>
  </si>
  <si>
    <t>Investície
[Eur]</t>
  </si>
  <si>
    <t>Prevádzka
[Eur]</t>
  </si>
  <si>
    <t>Suma TCO
[Eur]</t>
  </si>
  <si>
    <t>Počet OBU delený 1000</t>
  </si>
  <si>
    <t>Programovacie stanice OBU</t>
  </si>
  <si>
    <t>Počet kusov</t>
  </si>
  <si>
    <t>Osobné výdavky, odd. správy kontextových dát</t>
  </si>
  <si>
    <t>Model výdavkov - celkové náklady na vlastníctvo - 4 roky prevádzky</t>
  </si>
  <si>
    <t>Odvodenie jednotkovej ceny za prevádzku OBU pre variantu komplexných služieb</t>
  </si>
  <si>
    <t>Jednotková cena za prevádzku OBU
[Eur/mesiac.OBU]</t>
  </si>
  <si>
    <t>Satelitný systém</t>
  </si>
  <si>
    <t>Satelitný systém (GNSS OBU)</t>
  </si>
  <si>
    <t>Spracovanie dát OBU</t>
  </si>
  <si>
    <t>Model výdavkov - vybudovanie a prevádzka Satelitného systému - Rozšírený rozsah VÚC</t>
  </si>
  <si>
    <t>Cesty I. triedy, ostatné</t>
  </si>
  <si>
    <t>Dáta pre Variant 2 - rozšírený návrh</t>
  </si>
  <si>
    <t>Tab. 60 – Predpokladaný rozsah dodávok a počet Palubných jednotiek v prevádzke, použitý pre porovnanie technologických alternatív</t>
  </si>
  <si>
    <t>Správa geografických objektov v digitálnej mape</t>
  </si>
  <si>
    <t>Sadzba pre diskontovanie</t>
  </si>
  <si>
    <t>Spolu výdavky</t>
  </si>
  <si>
    <t>Spolu diskontované výdavky</t>
  </si>
  <si>
    <t>Suma TCO, diskontovaná
[Eur]</t>
  </si>
  <si>
    <t>Diskontované investičné výdavky</t>
  </si>
  <si>
    <t>Diskontované prevádzkové výdavky</t>
  </si>
  <si>
    <t>Investície, diskontované
[Eur]</t>
  </si>
  <si>
    <t>Prevádzkové výdavky, diskontované
[Eur]</t>
  </si>
  <si>
    <t>Index (porovnanie TCO alternatívy s alternatívou s min. TCO)</t>
  </si>
  <si>
    <t>Výdavky na obstaranie nových OBU, obnova</t>
  </si>
  <si>
    <t>Pribežné dodávky OBU - obnova, počet kusov</t>
  </si>
  <si>
    <t>Telekomunikačné služby, 1 SIM a mesiac</t>
  </si>
  <si>
    <t>Jednotková cena [Eur]</t>
  </si>
  <si>
    <t>Počet mesiacov</t>
  </si>
  <si>
    <t>Obstaranie a logistika OBU</t>
  </si>
  <si>
    <t>Spolu, zaokrúhlené</t>
  </si>
  <si>
    <t>Obchodná marža dodávateľa</t>
  </si>
  <si>
    <t>Tab. 69 - Odhadované priemerné jednotkové náklady na výstavbu a likvidáciu registračných mýtnych staníc (cenová úroveň 2020)</t>
  </si>
  <si>
    <t>Tab. 70 - Odhadované priemerné mesačné náklady na prevádzku a údržbu registračných mýtnych staníc (cenová úroveň 2020)</t>
  </si>
  <si>
    <t>Tab. 71 - Odhadované jednotkové náklady na Palubné jednotky (cenová úroveň 2020)</t>
  </si>
  <si>
    <t>Tab. 72 - Odhadované jednotkové náklady na centrálny systém zberu mýtnych dát, programovacie zariadenia k Palubným jednotkám a služby spracovania dát (cenová úroveň 2020)</t>
  </si>
  <si>
    <t>Tab. 73 - Plánovaný počet registračných mýtnych staníc</t>
  </si>
  <si>
    <t>Tab. 74 – Odhad nákladov na vybudovanie registračných mýtnych staníc v alternatíve 1, a ich likvidáciu v Etape 3</t>
  </si>
  <si>
    <t>Tab. 75 – Odhad nákladov na prevádzku a údržbu registračných mýtnych staníc v alternatíve 1</t>
  </si>
  <si>
    <t>Tab. 76 – Odhad nákladov na obstaranie a prevádzku Palubných jednotiek v alternatíve 1</t>
  </si>
  <si>
    <t>Tab. 77 – Odhad nákladov na centrálny systém, programovacie stanice k OBU a spracovanie mýtnych dát v alternatíve 1</t>
  </si>
  <si>
    <t>Tab. 78 – Zhrnutie nákladov životného cyklu projektu (TCO)  v alternatíve 1</t>
  </si>
  <si>
    <t>Tab. 67 – Plánovaný počet Mýtnych úsekov, použitý pre porovnanie technologických alternatív</t>
  </si>
  <si>
    <t>Tab. 66 - Rozsah spoplatnených VÚC, použitý pre porovnanie technologických alternatív</t>
  </si>
  <si>
    <t>Tab. 80 - Odhadované jednotkové náklady na prípravu geo-dát na jeden mýtny úsek (cenová úroveň 2020)</t>
  </si>
  <si>
    <t>Tab. 81 - Odhadované priemerné mesačné náklady na správu geo-dát (cenová úroveň 2020)</t>
  </si>
  <si>
    <t>Výdavky na prevádzku OBU - telekomunikačné náklady na 1 SIM</t>
  </si>
  <si>
    <t>Tab. 82 - Odhadované jednotkové náklady na Palubné jednotky (cenová úroveň 2020)</t>
  </si>
  <si>
    <t>Tab. 83 - Odhadované náklady na centrálny systém zberu mýtnych dát a služby spracovania dát (cenová úroveň 2020)</t>
  </si>
  <si>
    <t>Tab. 84 - Plánovaný počet mýtnych úsekov</t>
  </si>
  <si>
    <t>Tab. 85 – Odhad nákladov na vytvorenie geografických objektov v digitálnej mape v alternatíve 2</t>
  </si>
  <si>
    <t>Tab. 86 – Odhad nákladov na správu kontextových dáta vr. geo-objektov a digitálnej mapy v alternatíve 2</t>
  </si>
  <si>
    <t>Tab. 87 – Odhad nákladov na obstaranie a prevádzku Palubných jednotiek v alternatíve 2</t>
  </si>
  <si>
    <t>Tab. 88 – Odhad nákladov na centrálny systém, prevádzku a spracovanie mýtnych dát v alternatíve 2</t>
  </si>
  <si>
    <t>Tab. 89 – Zhrnutie výdavkov životného cyklu projektu (TCO)  v alternatíve 2</t>
  </si>
  <si>
    <t>Tab. 91 - Zhrnutie celkových výdavkov životného cyklu projektu pre alternatívy technologického riešenia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</si>
</sst>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00"/>
    <numFmt numFmtId="166" formatCode="0.0%"/>
    <numFmt numFmtId="167" formatCode="#,##0.000"/>
  </numFmts>
  <fonts count="15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i/>
      <sz val="8"/>
      <color rgb="FF00B0F0"/>
      <name val="Calibri"/>
      <family val="2"/>
      <charset val="238"/>
      <scheme val="minor"/>
    </font>
    <font>
      <b/>
      <sz val="9"/>
      <color rgb="FF000000"/>
      <name val="Arial Narrow"/>
      <family val="2"/>
      <charset val="238"/>
    </font>
    <font>
      <b/>
      <sz val="11"/>
      <color theme="3"/>
      <name val="Calibri"/>
      <family val="2"/>
      <charset val="238"/>
      <scheme val="minor"/>
    </font>
    <font>
      <i/>
      <sz val="9"/>
      <color rgb="FF44546A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D966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2" applyNumberFormat="0" applyFont="0" applyAlignment="0" applyProtection="0"/>
    <xf numFmtId="0" fontId="13" fillId="0" borderId="8" applyNumberFormat="0" applyFill="0" applyAlignment="0" applyProtection="0"/>
  </cellStyleXfs>
  <cellXfs count="71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4" borderId="4" xfId="0" applyFont="1" applyFill="1" applyBorder="1"/>
    <xf numFmtId="10" fontId="5" fillId="4" borderId="4" xfId="0" applyNumberFormat="1" applyFont="1" applyFill="1" applyBorder="1" applyAlignment="1">
      <alignment horizontal="center"/>
    </xf>
    <xf numFmtId="10" fontId="5" fillId="4" borderId="4" xfId="0" applyNumberFormat="1" applyFont="1" applyFill="1" applyBorder="1"/>
    <xf numFmtId="1" fontId="5" fillId="4" borderId="4" xfId="0" applyNumberFormat="1" applyFont="1" applyFill="1" applyBorder="1" applyAlignment="1">
      <alignment horizontal="center"/>
    </xf>
    <xf numFmtId="3" fontId="5" fillId="4" borderId="4" xfId="0" applyNumberFormat="1" applyFont="1" applyFill="1" applyBorder="1"/>
    <xf numFmtId="3" fontId="5" fillId="2" borderId="2" xfId="3" applyNumberFormat="1" applyFont="1"/>
    <xf numFmtId="3" fontId="5" fillId="0" borderId="4" xfId="0" applyNumberFormat="1" applyFont="1" applyBorder="1"/>
    <xf numFmtId="0" fontId="4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3" fontId="4" fillId="3" borderId="5" xfId="0" applyNumberFormat="1" applyFont="1" applyFill="1" applyBorder="1" applyAlignment="1">
      <alignment vertical="center" wrapText="1"/>
    </xf>
    <xf numFmtId="164" fontId="5" fillId="0" borderId="4" xfId="0" applyNumberFormat="1" applyFont="1" applyBorder="1"/>
    <xf numFmtId="164" fontId="4" fillId="3" borderId="5" xfId="0" applyNumberFormat="1" applyFont="1" applyFill="1" applyBorder="1" applyAlignment="1">
      <alignment vertical="center" wrapText="1"/>
    </xf>
    <xf numFmtId="0" fontId="6" fillId="0" borderId="0" xfId="0" applyFont="1"/>
    <xf numFmtId="165" fontId="5" fillId="4" borderId="4" xfId="0" applyNumberFormat="1" applyFont="1" applyFill="1" applyBorder="1" applyAlignment="1">
      <alignment horizontal="center"/>
    </xf>
    <xf numFmtId="4" fontId="5" fillId="4" borderId="4" xfId="0" applyNumberFormat="1" applyFont="1" applyFill="1" applyBorder="1"/>
    <xf numFmtId="0" fontId="7" fillId="4" borderId="4" xfId="0" applyFont="1" applyFill="1" applyBorder="1"/>
    <xf numFmtId="10" fontId="7" fillId="4" borderId="4" xfId="0" applyNumberFormat="1" applyFont="1" applyFill="1" applyBorder="1" applyAlignment="1">
      <alignment horizontal="center"/>
    </xf>
    <xf numFmtId="4" fontId="7" fillId="4" borderId="4" xfId="0" applyNumberFormat="1" applyFont="1" applyFill="1" applyBorder="1"/>
    <xf numFmtId="3" fontId="7" fillId="4" borderId="4" xfId="0" applyNumberFormat="1" applyFont="1" applyFill="1" applyBorder="1"/>
    <xf numFmtId="3" fontId="7" fillId="0" borderId="4" xfId="0" applyNumberFormat="1" applyFont="1" applyBorder="1"/>
    <xf numFmtId="0" fontId="8" fillId="0" borderId="0" xfId="0" applyFont="1"/>
    <xf numFmtId="0" fontId="9" fillId="4" borderId="4" xfId="0" applyFont="1" applyFill="1" applyBorder="1"/>
    <xf numFmtId="0" fontId="10" fillId="4" borderId="4" xfId="0" applyFont="1" applyFill="1" applyBorder="1"/>
    <xf numFmtId="10" fontId="9" fillId="4" borderId="4" xfId="0" applyNumberFormat="1" applyFont="1" applyFill="1" applyBorder="1" applyAlignment="1">
      <alignment horizontal="center"/>
    </xf>
    <xf numFmtId="4" fontId="9" fillId="4" borderId="4" xfId="0" applyNumberFormat="1" applyFont="1" applyFill="1" applyBorder="1"/>
    <xf numFmtId="3" fontId="9" fillId="4" borderId="4" xfId="0" applyNumberFormat="1" applyFont="1" applyFill="1" applyBorder="1"/>
    <xf numFmtId="3" fontId="9" fillId="0" borderId="4" xfId="0" applyNumberFormat="1" applyFont="1" applyBorder="1"/>
    <xf numFmtId="0" fontId="3" fillId="0" borderId="0" xfId="0" applyFont="1"/>
    <xf numFmtId="10" fontId="0" fillId="0" borderId="0" xfId="0" applyNumberFormat="1"/>
    <xf numFmtId="10" fontId="7" fillId="4" borderId="4" xfId="1" applyNumberFormat="1" applyFont="1" applyFill="1" applyBorder="1"/>
    <xf numFmtId="0" fontId="11" fillId="0" borderId="0" xfId="0" applyFont="1"/>
    <xf numFmtId="9" fontId="0" fillId="0" borderId="0" xfId="0" applyNumberFormat="1"/>
    <xf numFmtId="0" fontId="5" fillId="4" borderId="0" xfId="0" applyFont="1" applyFill="1" applyBorder="1"/>
    <xf numFmtId="10" fontId="5" fillId="4" borderId="0" xfId="0" applyNumberFormat="1" applyFont="1" applyFill="1" applyBorder="1" applyAlignment="1">
      <alignment horizontal="center"/>
    </xf>
    <xf numFmtId="4" fontId="5" fillId="4" borderId="0" xfId="0" applyNumberFormat="1" applyFont="1" applyFill="1" applyBorder="1"/>
    <xf numFmtId="3" fontId="5" fillId="0" borderId="0" xfId="0" applyNumberFormat="1" applyFont="1" applyBorder="1"/>
    <xf numFmtId="0" fontId="12" fillId="3" borderId="5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center" vertical="center" wrapText="1"/>
    </xf>
    <xf numFmtId="3" fontId="12" fillId="3" borderId="5" xfId="0" applyNumberFormat="1" applyFont="1" applyFill="1" applyBorder="1" applyAlignment="1">
      <alignment vertical="center" wrapText="1"/>
    </xf>
    <xf numFmtId="164" fontId="12" fillId="3" borderId="5" xfId="0" applyNumberFormat="1" applyFont="1" applyFill="1" applyBorder="1" applyAlignment="1">
      <alignment vertical="center" wrapText="1"/>
    </xf>
    <xf numFmtId="4" fontId="5" fillId="0" borderId="4" xfId="0" applyNumberFormat="1" applyFont="1" applyBorder="1" applyAlignment="1">
      <alignment horizontal="center"/>
    </xf>
    <xf numFmtId="166" fontId="0" fillId="0" borderId="0" xfId="0" applyNumberFormat="1"/>
    <xf numFmtId="0" fontId="5" fillId="4" borderId="7" xfId="0" applyFont="1" applyFill="1" applyBorder="1"/>
    <xf numFmtId="10" fontId="5" fillId="4" borderId="7" xfId="0" applyNumberFormat="1" applyFont="1" applyFill="1" applyBorder="1" applyAlignment="1">
      <alignment horizontal="center"/>
    </xf>
    <xf numFmtId="4" fontId="5" fillId="4" borderId="7" xfId="0" applyNumberFormat="1" applyFont="1" applyFill="1" applyBorder="1"/>
    <xf numFmtId="3" fontId="5" fillId="4" borderId="7" xfId="0" applyNumberFormat="1" applyFont="1" applyFill="1" applyBorder="1"/>
    <xf numFmtId="3" fontId="5" fillId="0" borderId="7" xfId="0" applyNumberFormat="1" applyFont="1" applyBorder="1"/>
    <xf numFmtId="0" fontId="7" fillId="4" borderId="6" xfId="0" applyFont="1" applyFill="1" applyBorder="1"/>
    <xf numFmtId="10" fontId="7" fillId="4" borderId="6" xfId="0" applyNumberFormat="1" applyFont="1" applyFill="1" applyBorder="1" applyAlignment="1">
      <alignment horizontal="center"/>
    </xf>
    <xf numFmtId="4" fontId="7" fillId="4" borderId="6" xfId="0" applyNumberFormat="1" applyFont="1" applyFill="1" applyBorder="1"/>
    <xf numFmtId="3" fontId="7" fillId="4" borderId="6" xfId="0" applyNumberFormat="1" applyFont="1" applyFill="1" applyBorder="1"/>
    <xf numFmtId="3" fontId="7" fillId="0" borderId="6" xfId="0" applyNumberFormat="1" applyFont="1" applyBorder="1"/>
    <xf numFmtId="3" fontId="7" fillId="4" borderId="7" xfId="0" applyNumberFormat="1" applyFont="1" applyFill="1" applyBorder="1"/>
    <xf numFmtId="3" fontId="5" fillId="0" borderId="4" xfId="0" applyNumberFormat="1" applyFont="1" applyBorder="1" applyAlignment="1"/>
    <xf numFmtId="3" fontId="5" fillId="0" borderId="6" xfId="0" applyNumberFormat="1" applyFont="1" applyBorder="1"/>
    <xf numFmtId="4" fontId="5" fillId="0" borderId="4" xfId="0" applyNumberFormat="1" applyFont="1" applyBorder="1" applyAlignment="1"/>
    <xf numFmtId="9" fontId="5" fillId="0" borderId="4" xfId="1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3" fontId="5" fillId="0" borderId="0" xfId="0" applyNumberFormat="1" applyFont="1" applyFill="1" applyBorder="1"/>
    <xf numFmtId="0" fontId="13" fillId="0" borderId="8" xfId="4"/>
    <xf numFmtId="0" fontId="14" fillId="0" borderId="0" xfId="0" applyFont="1" applyAlignment="1">
      <alignment horizontal="justify" vertical="center"/>
    </xf>
    <xf numFmtId="166" fontId="5" fillId="4" borderId="4" xfId="1" applyNumberFormat="1" applyFont="1" applyFill="1" applyBorder="1"/>
    <xf numFmtId="0" fontId="2" fillId="0" borderId="1" xfId="2" applyAlignment="1">
      <alignment horizontal="left"/>
    </xf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4" fontId="5" fillId="0" borderId="4" xfId="0" applyNumberFormat="1" applyFont="1" applyBorder="1"/>
    <xf numFmtId="167" fontId="0" fillId="0" borderId="0" xfId="0" applyNumberFormat="1"/>
    <xf numFmtId="3" fontId="0" fillId="0" borderId="0" xfId="0" applyNumberFormat="1"/>
    <xf numFmtId="4" fontId="9" fillId="0" borderId="4" xfId="0" applyNumberFormat="1" applyFont="1" applyBorder="1" applyAlignment="1"/>
  </cellXfs>
  <cellStyles count="5">
    <cellStyle name="Heading 2" xfId="2" builtinId="17"/>
    <cellStyle name="Heading 3" xfId="4" builtinId="18"/>
    <cellStyle name="Normal" xfId="0" builtinId="0"/>
    <cellStyle name="Note" xfId="3" builtinId="1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0_Model_pr&#237;jm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4_Organ_&#353;trukt&#250;ra_a_os_n&#225;klad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Vyhodnotenie_DV"/>
      <sheetName val="Vyhodnotenie_VPSM"/>
      <sheetName val="Vyhodnotenie_E"/>
      <sheetName val="Vyhodnotenie_TRX"/>
      <sheetName val="Prognóza_1"/>
      <sheetName val="Prognóza_2"/>
      <sheetName val="Prognóza_3"/>
      <sheetName val="Prognóza_4"/>
      <sheetName val="Prognóza_4Ba"/>
      <sheetName val="Výber_mýta_P4"/>
      <sheetName val="Výber_mýta_P4R1i"/>
      <sheetName val="Výber_mýta_P4R1i23"/>
      <sheetName val="Výber_mýta_P4Ba"/>
      <sheetName val="Výber_mýta_P4Ba1O"/>
      <sheetName val="Výber_mýta_P4Ba1Oi"/>
      <sheetName val="Zľavy"/>
      <sheetName val="Dĺžky VÚC"/>
      <sheetName val="Dáta_ETC"/>
      <sheetName val="Sheet4"/>
      <sheetName val="Dáta_CSD2015_C2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5">
          <cell r="I15">
            <v>234708.86200920981</v>
          </cell>
        </row>
      </sheetData>
      <sheetData sheetId="14">
        <row r="16">
          <cell r="I16">
            <v>241807585.02806833</v>
          </cell>
        </row>
      </sheetData>
      <sheetData sheetId="15"/>
      <sheetData sheetId="16"/>
      <sheetData sheetId="17">
        <row r="72">
          <cell r="D72">
            <v>272.26200000000006</v>
          </cell>
          <cell r="E72">
            <v>272.26200000000006</v>
          </cell>
          <cell r="F72">
            <v>272.26200000000006</v>
          </cell>
          <cell r="G72">
            <v>304.39200000000005</v>
          </cell>
          <cell r="H72">
            <v>317.89200000000005</v>
          </cell>
          <cell r="I72">
            <v>322.29200000000003</v>
          </cell>
          <cell r="J72">
            <v>340.89200000000005</v>
          </cell>
          <cell r="K72">
            <v>388.04200000000003</v>
          </cell>
          <cell r="L72">
            <v>408.35200000000003</v>
          </cell>
          <cell r="M72">
            <v>516.60200000000009</v>
          </cell>
          <cell r="N72">
            <v>554.52200000000005</v>
          </cell>
          <cell r="O72">
            <v>624.97200000000009</v>
          </cell>
          <cell r="P72">
            <v>648.78200000000004</v>
          </cell>
        </row>
        <row r="73">
          <cell r="D73">
            <v>430.76599999999985</v>
          </cell>
          <cell r="E73">
            <v>430.76599999999985</v>
          </cell>
          <cell r="F73">
            <v>430.76599999999985</v>
          </cell>
          <cell r="G73">
            <v>444.76599999999985</v>
          </cell>
          <cell r="H73">
            <v>447.76599999999985</v>
          </cell>
          <cell r="I73">
            <v>465.76599999999985</v>
          </cell>
          <cell r="J73">
            <v>486.76599999999985</v>
          </cell>
          <cell r="K73">
            <v>506.76599999999985</v>
          </cell>
          <cell r="L73">
            <v>523.46599999999989</v>
          </cell>
          <cell r="M73">
            <v>595.46599999999989</v>
          </cell>
          <cell r="N73">
            <v>617.46599999999989</v>
          </cell>
          <cell r="O73">
            <v>665.46599999999989</v>
          </cell>
          <cell r="P73">
            <v>667.46599999999989</v>
          </cell>
        </row>
        <row r="75">
          <cell r="D75">
            <v>1197.0240000000013</v>
          </cell>
          <cell r="E75">
            <v>1197.0240000000013</v>
          </cell>
          <cell r="F75">
            <v>1197.0240000000013</v>
          </cell>
          <cell r="G75">
            <v>1183.0240000000013</v>
          </cell>
          <cell r="H75">
            <v>1180.0240000000013</v>
          </cell>
          <cell r="I75">
            <v>1167.7540000000013</v>
          </cell>
          <cell r="J75">
            <v>1173.6370000000013</v>
          </cell>
          <cell r="K75">
            <v>1153.6370000000013</v>
          </cell>
          <cell r="L75">
            <v>1144.7370000000012</v>
          </cell>
          <cell r="M75">
            <v>1091.7370000000012</v>
          </cell>
          <cell r="N75">
            <v>1079.2370000000012</v>
          </cell>
          <cell r="O75">
            <v>1031.2370000000012</v>
          </cell>
          <cell r="P75">
            <v>1029.2370000000012</v>
          </cell>
        </row>
        <row r="77">
          <cell r="D77">
            <v>590.2330000000004</v>
          </cell>
          <cell r="E77">
            <v>590.2330000000004</v>
          </cell>
          <cell r="F77">
            <v>590.2330000000004</v>
          </cell>
          <cell r="G77">
            <v>590.2330000000004</v>
          </cell>
          <cell r="H77">
            <v>590.2330000000004</v>
          </cell>
          <cell r="I77">
            <v>590.2330000000004</v>
          </cell>
          <cell r="J77">
            <v>590.2330000000004</v>
          </cell>
          <cell r="K77">
            <v>590.2330000000004</v>
          </cell>
          <cell r="L77">
            <v>590.2330000000004</v>
          </cell>
          <cell r="M77">
            <v>590.2330000000004</v>
          </cell>
          <cell r="N77">
            <v>590.2330000000004</v>
          </cell>
          <cell r="O77">
            <v>590.2330000000004</v>
          </cell>
          <cell r="P77">
            <v>590.2330000000004</v>
          </cell>
        </row>
        <row r="82">
          <cell r="D82">
            <v>478.1939999999999</v>
          </cell>
          <cell r="E82">
            <v>478.1939999999999</v>
          </cell>
          <cell r="F82">
            <v>502.33199999999988</v>
          </cell>
          <cell r="G82">
            <v>534.99199999999996</v>
          </cell>
          <cell r="H82">
            <v>534.99199999999996</v>
          </cell>
          <cell r="I82">
            <v>549.91199999999992</v>
          </cell>
          <cell r="J82">
            <v>563.42199999999991</v>
          </cell>
          <cell r="K82">
            <v>563.42199999999991</v>
          </cell>
          <cell r="L82">
            <v>589.22199999999987</v>
          </cell>
          <cell r="M82">
            <v>589.22199999999987</v>
          </cell>
          <cell r="N82">
            <v>592.79199999999992</v>
          </cell>
          <cell r="O82">
            <v>606.32199999999989</v>
          </cell>
          <cell r="P82">
            <v>606.32199999999989</v>
          </cell>
        </row>
      </sheetData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aznícke služby (alt.1)"/>
      <sheetName val="Zákaznícke služby (alt.2)"/>
      <sheetName val="Zákaznícke služby (alt.3)"/>
      <sheetName val="Palubné jednotky (alt.1)"/>
      <sheetName val="Palubné jednotky (alt.2)"/>
      <sheetName val="Palubné jednotky (alt.3)"/>
      <sheetName val="Agenda SVM (alt.1)"/>
      <sheetName val="Agenda SVM (alt.2)"/>
      <sheetName val="Vstupné dáta"/>
    </sheetNames>
    <sheetDataSet>
      <sheetData sheetId="0">
        <row r="13">
          <cell r="G13">
            <v>17331</v>
          </cell>
        </row>
      </sheetData>
      <sheetData sheetId="1">
        <row r="60">
          <cell r="G60">
            <v>132696</v>
          </cell>
        </row>
      </sheetData>
      <sheetData sheetId="2">
        <row r="13">
          <cell r="G13">
            <v>17331</v>
          </cell>
        </row>
      </sheetData>
      <sheetData sheetId="3">
        <row r="10">
          <cell r="G10">
            <v>8450</v>
          </cell>
        </row>
      </sheetData>
      <sheetData sheetId="4">
        <row r="6">
          <cell r="G6">
            <v>4373</v>
          </cell>
        </row>
        <row r="7">
          <cell r="G7">
            <v>3210</v>
          </cell>
        </row>
        <row r="8">
          <cell r="G8">
            <v>2030</v>
          </cell>
        </row>
        <row r="9">
          <cell r="G9">
            <v>2461</v>
          </cell>
        </row>
        <row r="10">
          <cell r="G10">
            <v>3210</v>
          </cell>
        </row>
        <row r="11">
          <cell r="G11">
            <v>2030</v>
          </cell>
        </row>
        <row r="12">
          <cell r="G12">
            <v>2461</v>
          </cell>
        </row>
        <row r="13">
          <cell r="G13">
            <v>3210</v>
          </cell>
        </row>
        <row r="14">
          <cell r="G14">
            <v>2030</v>
          </cell>
        </row>
        <row r="15">
          <cell r="G15">
            <v>2461</v>
          </cell>
        </row>
        <row r="16">
          <cell r="G16">
            <v>3210</v>
          </cell>
        </row>
        <row r="17">
          <cell r="G17">
            <v>2030</v>
          </cell>
        </row>
        <row r="18">
          <cell r="G18">
            <v>2461</v>
          </cell>
        </row>
        <row r="19">
          <cell r="G19">
            <v>3210</v>
          </cell>
        </row>
        <row r="20">
          <cell r="G20">
            <v>2030</v>
          </cell>
        </row>
        <row r="21">
          <cell r="G21">
            <v>2461</v>
          </cell>
        </row>
      </sheetData>
      <sheetData sheetId="5">
        <row r="10">
          <cell r="G10">
            <v>8450</v>
          </cell>
        </row>
      </sheetData>
      <sheetData sheetId="6">
        <row r="15">
          <cell r="G15">
            <v>23002</v>
          </cell>
        </row>
      </sheetData>
      <sheetData sheetId="7">
        <row r="87">
          <cell r="G87">
            <v>3210</v>
          </cell>
        </row>
        <row r="88">
          <cell r="G88">
            <v>2030</v>
          </cell>
        </row>
        <row r="89">
          <cell r="G89">
            <v>2030</v>
          </cell>
        </row>
        <row r="90">
          <cell r="G90">
            <v>2030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94"/>
  <sheetViews>
    <sheetView topLeftCell="A55" zoomScaleNormal="100" workbookViewId="0">
      <selection activeCell="D73" sqref="D73"/>
    </sheetView>
  </sheetViews>
  <sheetFormatPr defaultRowHeight="12.75" x14ac:dyDescent="0.2"/>
  <cols>
    <col min="1" max="1" width="52.28515625" customWidth="1"/>
    <col min="4" max="4" width="15.85546875" customWidth="1"/>
    <col min="8" max="8" width="10" customWidth="1"/>
  </cols>
  <sheetData>
    <row r="2" spans="1:19" ht="18" thickBot="1" x14ac:dyDescent="0.35">
      <c r="A2" s="64" t="s">
        <v>35</v>
      </c>
      <c r="B2" s="64"/>
      <c r="C2" s="64"/>
      <c r="D2" s="64"/>
      <c r="E2" s="64"/>
    </row>
    <row r="3" spans="1:19" ht="13.5" thickTop="1" x14ac:dyDescent="0.2"/>
    <row r="5" spans="1:19" ht="13.5" x14ac:dyDescent="0.2">
      <c r="A5" s="1" t="s">
        <v>0</v>
      </c>
      <c r="B5" s="1"/>
      <c r="C5" s="1"/>
      <c r="D5" s="1"/>
      <c r="E5" s="1"/>
      <c r="F5" s="1">
        <v>2020</v>
      </c>
      <c r="G5" s="1">
        <v>2021</v>
      </c>
      <c r="H5" s="1">
        <v>2022</v>
      </c>
      <c r="I5" s="1">
        <v>2023</v>
      </c>
      <c r="J5" s="1">
        <v>2024</v>
      </c>
      <c r="K5" s="1">
        <v>2025</v>
      </c>
      <c r="L5" s="1">
        <v>2026</v>
      </c>
      <c r="M5" s="1">
        <v>2027</v>
      </c>
      <c r="N5" s="1">
        <v>2028</v>
      </c>
      <c r="O5" s="1">
        <v>2029</v>
      </c>
      <c r="P5" s="1">
        <v>2030</v>
      </c>
      <c r="Q5" s="1">
        <v>2031</v>
      </c>
      <c r="R5" s="1">
        <v>2032</v>
      </c>
    </row>
    <row r="6" spans="1:19" ht="13.5" x14ac:dyDescent="0.25">
      <c r="A6" s="2" t="s">
        <v>1</v>
      </c>
      <c r="B6" s="3"/>
      <c r="C6" s="4"/>
      <c r="D6" s="5"/>
      <c r="E6" s="6"/>
      <c r="F6" s="12">
        <f>'[1]Dĺžky VÚC'!D$82</f>
        <v>478.1939999999999</v>
      </c>
      <c r="G6" s="12">
        <f>'[1]Dĺžky VÚC'!E$82</f>
        <v>478.1939999999999</v>
      </c>
      <c r="H6" s="12">
        <f>'[1]Dĺžky VÚC'!F$82</f>
        <v>502.33199999999988</v>
      </c>
      <c r="I6" s="12">
        <f>'[1]Dĺžky VÚC'!G$82</f>
        <v>534.99199999999996</v>
      </c>
      <c r="J6" s="12">
        <f>'[1]Dĺžky VÚC'!H$82</f>
        <v>534.99199999999996</v>
      </c>
      <c r="K6" s="12">
        <f>'[1]Dĺžky VÚC'!I$82</f>
        <v>549.91199999999992</v>
      </c>
      <c r="L6" s="12">
        <f>'[1]Dĺžky VÚC'!J$82</f>
        <v>563.42199999999991</v>
      </c>
      <c r="M6" s="12">
        <f>'[1]Dĺžky VÚC'!K$82</f>
        <v>563.42199999999991</v>
      </c>
      <c r="N6" s="12">
        <f>'[1]Dĺžky VÚC'!L$82</f>
        <v>589.22199999999987</v>
      </c>
      <c r="O6" s="12">
        <f>'[1]Dĺžky VÚC'!M$82</f>
        <v>589.22199999999987</v>
      </c>
      <c r="P6" s="12">
        <f>'[1]Dĺžky VÚC'!N$82</f>
        <v>592.79199999999992</v>
      </c>
      <c r="Q6" s="12">
        <f>'[1]Dĺžky VÚC'!O$82</f>
        <v>606.32199999999989</v>
      </c>
      <c r="R6" s="12">
        <f>'[1]Dĺžky VÚC'!P$82</f>
        <v>606.32199999999989</v>
      </c>
    </row>
    <row r="7" spans="1:19" ht="13.5" x14ac:dyDescent="0.25">
      <c r="A7" s="2" t="s">
        <v>2</v>
      </c>
      <c r="B7" s="3"/>
      <c r="C7" s="4"/>
      <c r="D7" s="5"/>
      <c r="E7" s="6"/>
      <c r="F7" s="12">
        <f>'[1]Dĺžky VÚC'!D$72</f>
        <v>272.26200000000006</v>
      </c>
      <c r="G7" s="12">
        <f>'[1]Dĺžky VÚC'!E$72</f>
        <v>272.26200000000006</v>
      </c>
      <c r="H7" s="12">
        <f>'[1]Dĺžky VÚC'!F$72</f>
        <v>272.26200000000006</v>
      </c>
      <c r="I7" s="12">
        <f>'[1]Dĺžky VÚC'!G$72</f>
        <v>304.39200000000005</v>
      </c>
      <c r="J7" s="12">
        <f>'[1]Dĺžky VÚC'!H$72</f>
        <v>317.89200000000005</v>
      </c>
      <c r="K7" s="12">
        <f>'[1]Dĺžky VÚC'!I$72</f>
        <v>322.29200000000003</v>
      </c>
      <c r="L7" s="12">
        <f>'[1]Dĺžky VÚC'!J$72</f>
        <v>340.89200000000005</v>
      </c>
      <c r="M7" s="12">
        <f>'[1]Dĺžky VÚC'!K$72</f>
        <v>388.04200000000003</v>
      </c>
      <c r="N7" s="12">
        <f>'[1]Dĺžky VÚC'!L$72</f>
        <v>408.35200000000003</v>
      </c>
      <c r="O7" s="12">
        <f>'[1]Dĺžky VÚC'!M$72</f>
        <v>516.60200000000009</v>
      </c>
      <c r="P7" s="12">
        <f>'[1]Dĺžky VÚC'!N$72</f>
        <v>554.52200000000005</v>
      </c>
      <c r="Q7" s="12">
        <f>'[1]Dĺžky VÚC'!O$72</f>
        <v>624.97200000000009</v>
      </c>
      <c r="R7" s="12">
        <f>'[1]Dĺžky VÚC'!P$72</f>
        <v>648.78200000000004</v>
      </c>
    </row>
    <row r="8" spans="1:19" ht="13.5" x14ac:dyDescent="0.25">
      <c r="A8" s="2" t="s">
        <v>3</v>
      </c>
      <c r="B8" s="3"/>
      <c r="C8" s="4"/>
      <c r="D8" s="5"/>
      <c r="E8" s="6"/>
      <c r="F8" s="12">
        <f>'[1]Dĺžky VÚC'!D$73</f>
        <v>430.76599999999985</v>
      </c>
      <c r="G8" s="12">
        <f>'[1]Dĺžky VÚC'!E$73</f>
        <v>430.76599999999985</v>
      </c>
      <c r="H8" s="12">
        <f>'[1]Dĺžky VÚC'!F$73</f>
        <v>430.76599999999985</v>
      </c>
      <c r="I8" s="12">
        <f>'[1]Dĺžky VÚC'!G$73</f>
        <v>444.76599999999985</v>
      </c>
      <c r="J8" s="12">
        <f>'[1]Dĺžky VÚC'!H$73</f>
        <v>447.76599999999985</v>
      </c>
      <c r="K8" s="12">
        <f>'[1]Dĺžky VÚC'!I$73</f>
        <v>465.76599999999985</v>
      </c>
      <c r="L8" s="12">
        <f>'[1]Dĺžky VÚC'!J$73</f>
        <v>486.76599999999985</v>
      </c>
      <c r="M8" s="12">
        <f>'[1]Dĺžky VÚC'!K$73</f>
        <v>506.76599999999985</v>
      </c>
      <c r="N8" s="12">
        <f>'[1]Dĺžky VÚC'!L$73</f>
        <v>523.46599999999989</v>
      </c>
      <c r="O8" s="12">
        <f>'[1]Dĺžky VÚC'!M$73</f>
        <v>595.46599999999989</v>
      </c>
      <c r="P8" s="12">
        <f>'[1]Dĺžky VÚC'!N$73</f>
        <v>617.46599999999989</v>
      </c>
      <c r="Q8" s="12">
        <f>'[1]Dĺžky VÚC'!O$73</f>
        <v>665.46599999999989</v>
      </c>
      <c r="R8" s="12">
        <f>'[1]Dĺžky VÚC'!P$73</f>
        <v>667.46599999999989</v>
      </c>
    </row>
    <row r="9" spans="1:19" ht="13.5" x14ac:dyDescent="0.25">
      <c r="A9" s="2" t="s">
        <v>4</v>
      </c>
      <c r="B9" s="3"/>
      <c r="C9" s="4"/>
      <c r="D9" s="5"/>
      <c r="E9" s="6"/>
      <c r="F9" s="12">
        <f>'[1]Dĺžky VÚC'!D$75</f>
        <v>1197.0240000000013</v>
      </c>
      <c r="G9" s="12">
        <f>'[1]Dĺžky VÚC'!E$75</f>
        <v>1197.0240000000013</v>
      </c>
      <c r="H9" s="12">
        <f>'[1]Dĺžky VÚC'!F$75</f>
        <v>1197.0240000000013</v>
      </c>
      <c r="I9" s="12">
        <f>'[1]Dĺžky VÚC'!G$75</f>
        <v>1183.0240000000013</v>
      </c>
      <c r="J9" s="12">
        <f>'[1]Dĺžky VÚC'!H$75</f>
        <v>1180.0240000000013</v>
      </c>
      <c r="K9" s="12">
        <f>'[1]Dĺžky VÚC'!I$75</f>
        <v>1167.7540000000013</v>
      </c>
      <c r="L9" s="12">
        <f>'[1]Dĺžky VÚC'!J$75</f>
        <v>1173.6370000000013</v>
      </c>
      <c r="M9" s="12">
        <f>'[1]Dĺžky VÚC'!K$75</f>
        <v>1153.6370000000013</v>
      </c>
      <c r="N9" s="12">
        <f>'[1]Dĺžky VÚC'!L$75</f>
        <v>1144.7370000000012</v>
      </c>
      <c r="O9" s="12">
        <f>'[1]Dĺžky VÚC'!M$75</f>
        <v>1091.7370000000012</v>
      </c>
      <c r="P9" s="12">
        <f>'[1]Dĺžky VÚC'!N$75</f>
        <v>1079.2370000000012</v>
      </c>
      <c r="Q9" s="12">
        <f>'[1]Dĺžky VÚC'!O$75</f>
        <v>1031.2370000000012</v>
      </c>
      <c r="R9" s="12">
        <f>'[1]Dĺžky VÚC'!P$75</f>
        <v>1029.2370000000012</v>
      </c>
    </row>
    <row r="10" spans="1:19" s="29" customFormat="1" ht="13.5" x14ac:dyDescent="0.2">
      <c r="A10" s="38" t="s">
        <v>33</v>
      </c>
      <c r="B10" s="39"/>
      <c r="C10" s="39"/>
      <c r="D10" s="39"/>
      <c r="E10" s="40"/>
      <c r="F10" s="41">
        <f t="shared" ref="F10:R10" si="0">SUM(F6:F9)</f>
        <v>2378.246000000001</v>
      </c>
      <c r="G10" s="41">
        <f t="shared" si="0"/>
        <v>2378.246000000001</v>
      </c>
      <c r="H10" s="41">
        <f t="shared" si="0"/>
        <v>2402.3840000000009</v>
      </c>
      <c r="I10" s="41">
        <f t="shared" si="0"/>
        <v>2467.1740000000009</v>
      </c>
      <c r="J10" s="41">
        <f t="shared" si="0"/>
        <v>2480.6740000000009</v>
      </c>
      <c r="K10" s="41">
        <f t="shared" si="0"/>
        <v>2505.7240000000011</v>
      </c>
      <c r="L10" s="41">
        <f t="shared" si="0"/>
        <v>2564.7170000000015</v>
      </c>
      <c r="M10" s="41">
        <f t="shared" si="0"/>
        <v>2611.8670000000011</v>
      </c>
      <c r="N10" s="41">
        <f t="shared" si="0"/>
        <v>2665.777000000001</v>
      </c>
      <c r="O10" s="41">
        <f t="shared" si="0"/>
        <v>2793.027000000001</v>
      </c>
      <c r="P10" s="41">
        <f t="shared" si="0"/>
        <v>2844.0170000000007</v>
      </c>
      <c r="Q10" s="41">
        <f t="shared" si="0"/>
        <v>2927.9970000000012</v>
      </c>
      <c r="R10" s="41">
        <f t="shared" si="0"/>
        <v>2951.8070000000007</v>
      </c>
      <c r="S10"/>
    </row>
    <row r="12" spans="1:19" ht="13.5" x14ac:dyDescent="0.25">
      <c r="F12" s="14" t="s">
        <v>13</v>
      </c>
    </row>
    <row r="13" spans="1:19" ht="13.5" x14ac:dyDescent="0.25">
      <c r="F13" s="14" t="s">
        <v>6</v>
      </c>
    </row>
    <row r="14" spans="1:19" ht="40.5" x14ac:dyDescent="0.2">
      <c r="A14" s="1" t="s">
        <v>5</v>
      </c>
      <c r="B14" s="1"/>
      <c r="C14" s="1"/>
      <c r="D14" s="1" t="s">
        <v>7</v>
      </c>
      <c r="E14" s="1"/>
      <c r="F14" s="1">
        <v>2020</v>
      </c>
      <c r="G14" s="1">
        <v>2021</v>
      </c>
      <c r="H14" s="1">
        <v>2022</v>
      </c>
      <c r="I14" s="1">
        <v>2023</v>
      </c>
      <c r="J14" s="1">
        <v>2024</v>
      </c>
      <c r="K14" s="1">
        <v>2025</v>
      </c>
      <c r="L14" s="1">
        <v>2026</v>
      </c>
      <c r="M14" s="1">
        <v>2027</v>
      </c>
      <c r="N14" s="1">
        <v>2028</v>
      </c>
      <c r="O14" s="1">
        <v>2029</v>
      </c>
      <c r="P14" s="1">
        <v>2030</v>
      </c>
      <c r="Q14" s="1">
        <v>2031</v>
      </c>
      <c r="R14" s="1">
        <v>2032</v>
      </c>
    </row>
    <row r="15" spans="1:19" ht="13.5" x14ac:dyDescent="0.25">
      <c r="A15" s="2" t="s">
        <v>1</v>
      </c>
      <c r="B15" s="3"/>
      <c r="C15" s="4"/>
      <c r="D15" s="15">
        <f>F6/F15</f>
        <v>6.5506027397260258</v>
      </c>
      <c r="E15" s="6"/>
      <c r="F15" s="7">
        <v>73</v>
      </c>
      <c r="G15" s="8">
        <f>ROUNDUP(G6/$D15,0)</f>
        <v>73</v>
      </c>
      <c r="H15" s="8">
        <f>ROUNDUP(H6/$D15,0)</f>
        <v>77</v>
      </c>
      <c r="I15" s="8">
        <f t="shared" ref="I15:R15" si="1">ROUNDUP(I6/$D15,0)</f>
        <v>82</v>
      </c>
      <c r="J15" s="8">
        <f t="shared" si="1"/>
        <v>82</v>
      </c>
      <c r="K15" s="8">
        <f t="shared" si="1"/>
        <v>84</v>
      </c>
      <c r="L15" s="8">
        <f t="shared" si="1"/>
        <v>87</v>
      </c>
      <c r="M15" s="8">
        <f t="shared" si="1"/>
        <v>87</v>
      </c>
      <c r="N15" s="8">
        <f t="shared" si="1"/>
        <v>90</v>
      </c>
      <c r="O15" s="8">
        <f t="shared" si="1"/>
        <v>90</v>
      </c>
      <c r="P15" s="8">
        <f t="shared" si="1"/>
        <v>91</v>
      </c>
      <c r="Q15" s="8">
        <f t="shared" si="1"/>
        <v>93</v>
      </c>
      <c r="R15" s="8">
        <f t="shared" si="1"/>
        <v>93</v>
      </c>
    </row>
    <row r="16" spans="1:19" ht="13.5" x14ac:dyDescent="0.25">
      <c r="A16" s="2" t="s">
        <v>2</v>
      </c>
      <c r="B16" s="3"/>
      <c r="C16" s="4"/>
      <c r="D16" s="15">
        <f t="shared" ref="D16:D18" si="2">F7/F16</f>
        <v>4.3216190476190484</v>
      </c>
      <c r="E16" s="6"/>
      <c r="F16" s="7">
        <v>63</v>
      </c>
      <c r="G16" s="8">
        <f t="shared" ref="G16:H18" si="3">ROUNDUP(G7/$D16,0)</f>
        <v>63</v>
      </c>
      <c r="H16" s="8">
        <f t="shared" si="3"/>
        <v>63</v>
      </c>
      <c r="I16" s="8">
        <f t="shared" ref="I16:R16" si="4">ROUNDUP(I7/$D16,0)</f>
        <v>71</v>
      </c>
      <c r="J16" s="8">
        <f t="shared" si="4"/>
        <v>74</v>
      </c>
      <c r="K16" s="8">
        <f t="shared" si="4"/>
        <v>75</v>
      </c>
      <c r="L16" s="8">
        <f t="shared" si="4"/>
        <v>79</v>
      </c>
      <c r="M16" s="8">
        <f t="shared" si="4"/>
        <v>90</v>
      </c>
      <c r="N16" s="8">
        <f t="shared" si="4"/>
        <v>95</v>
      </c>
      <c r="O16" s="8">
        <f t="shared" si="4"/>
        <v>120</v>
      </c>
      <c r="P16" s="8">
        <f t="shared" si="4"/>
        <v>129</v>
      </c>
      <c r="Q16" s="8">
        <f t="shared" si="4"/>
        <v>145</v>
      </c>
      <c r="R16" s="8">
        <f t="shared" si="4"/>
        <v>151</v>
      </c>
    </row>
    <row r="17" spans="1:19" ht="13.5" x14ac:dyDescent="0.25">
      <c r="A17" s="2" t="s">
        <v>3</v>
      </c>
      <c r="B17" s="3"/>
      <c r="C17" s="4"/>
      <c r="D17" s="15">
        <f t="shared" si="2"/>
        <v>1.2897185628742511</v>
      </c>
      <c r="E17" s="6"/>
      <c r="F17" s="7">
        <v>334</v>
      </c>
      <c r="G17" s="8">
        <f t="shared" si="3"/>
        <v>334</v>
      </c>
      <c r="H17" s="8">
        <f t="shared" si="3"/>
        <v>334</v>
      </c>
      <c r="I17" s="8">
        <f t="shared" ref="I17:R17" si="5">ROUNDUP(I8/$D17,0)</f>
        <v>345</v>
      </c>
      <c r="J17" s="8">
        <f t="shared" si="5"/>
        <v>348</v>
      </c>
      <c r="K17" s="8">
        <f t="shared" si="5"/>
        <v>362</v>
      </c>
      <c r="L17" s="8">
        <f t="shared" si="5"/>
        <v>378</v>
      </c>
      <c r="M17" s="8">
        <f t="shared" si="5"/>
        <v>393</v>
      </c>
      <c r="N17" s="8">
        <f t="shared" si="5"/>
        <v>406</v>
      </c>
      <c r="O17" s="8">
        <f t="shared" si="5"/>
        <v>462</v>
      </c>
      <c r="P17" s="8">
        <f t="shared" si="5"/>
        <v>479</v>
      </c>
      <c r="Q17" s="8">
        <f t="shared" si="5"/>
        <v>516</v>
      </c>
      <c r="R17" s="8">
        <f t="shared" si="5"/>
        <v>518</v>
      </c>
    </row>
    <row r="18" spans="1:19" ht="13.5" x14ac:dyDescent="0.25">
      <c r="A18" s="2" t="s">
        <v>4</v>
      </c>
      <c r="B18" s="3"/>
      <c r="C18" s="4"/>
      <c r="D18" s="15">
        <f t="shared" si="2"/>
        <v>1.5190659898477172</v>
      </c>
      <c r="E18" s="6"/>
      <c r="F18" s="7">
        <v>788</v>
      </c>
      <c r="G18" s="8">
        <f t="shared" si="3"/>
        <v>788</v>
      </c>
      <c r="H18" s="8">
        <f t="shared" si="3"/>
        <v>788</v>
      </c>
      <c r="I18" s="8">
        <f t="shared" ref="I18:R18" si="6">ROUNDUP(I9/$D18,0)</f>
        <v>779</v>
      </c>
      <c r="J18" s="8">
        <f t="shared" si="6"/>
        <v>777</v>
      </c>
      <c r="K18" s="8">
        <f t="shared" si="6"/>
        <v>769</v>
      </c>
      <c r="L18" s="8">
        <f t="shared" si="6"/>
        <v>773</v>
      </c>
      <c r="M18" s="8">
        <f t="shared" si="6"/>
        <v>760</v>
      </c>
      <c r="N18" s="8">
        <f t="shared" si="6"/>
        <v>754</v>
      </c>
      <c r="O18" s="8">
        <f t="shared" si="6"/>
        <v>719</v>
      </c>
      <c r="P18" s="8">
        <f t="shared" si="6"/>
        <v>711</v>
      </c>
      <c r="Q18" s="8">
        <f t="shared" si="6"/>
        <v>679</v>
      </c>
      <c r="R18" s="8">
        <f t="shared" si="6"/>
        <v>678</v>
      </c>
    </row>
    <row r="19" spans="1:19" s="29" customFormat="1" ht="13.5" x14ac:dyDescent="0.2">
      <c r="A19" s="38" t="s">
        <v>33</v>
      </c>
      <c r="B19" s="39"/>
      <c r="C19" s="39"/>
      <c r="D19" s="39"/>
      <c r="E19" s="40"/>
      <c r="F19" s="40">
        <f t="shared" ref="F19:R19" si="7">SUM(F15:F18)</f>
        <v>1258</v>
      </c>
      <c r="G19" s="40">
        <f t="shared" si="7"/>
        <v>1258</v>
      </c>
      <c r="H19" s="40">
        <f t="shared" si="7"/>
        <v>1262</v>
      </c>
      <c r="I19" s="40">
        <f t="shared" si="7"/>
        <v>1277</v>
      </c>
      <c r="J19" s="40">
        <f t="shared" si="7"/>
        <v>1281</v>
      </c>
      <c r="K19" s="40">
        <f t="shared" si="7"/>
        <v>1290</v>
      </c>
      <c r="L19" s="40">
        <f t="shared" si="7"/>
        <v>1317</v>
      </c>
      <c r="M19" s="40">
        <f t="shared" si="7"/>
        <v>1330</v>
      </c>
      <c r="N19" s="40">
        <f t="shared" si="7"/>
        <v>1345</v>
      </c>
      <c r="O19" s="40">
        <f t="shared" si="7"/>
        <v>1391</v>
      </c>
      <c r="P19" s="40">
        <f t="shared" si="7"/>
        <v>1410</v>
      </c>
      <c r="Q19" s="40">
        <f t="shared" si="7"/>
        <v>1433</v>
      </c>
      <c r="R19" s="40">
        <f t="shared" si="7"/>
        <v>1440</v>
      </c>
      <c r="S19"/>
    </row>
    <row r="22" spans="1:19" x14ac:dyDescent="0.2">
      <c r="A22" s="62" t="s">
        <v>103</v>
      </c>
    </row>
    <row r="23" spans="1:19" ht="13.5" x14ac:dyDescent="0.2">
      <c r="A23" s="1" t="s">
        <v>14</v>
      </c>
      <c r="B23" s="1" t="s">
        <v>11</v>
      </c>
      <c r="C23" s="1"/>
      <c r="D23" s="1" t="s">
        <v>12</v>
      </c>
      <c r="E23" s="1"/>
      <c r="F23" s="1">
        <v>2020</v>
      </c>
      <c r="G23" s="1">
        <v>2021</v>
      </c>
      <c r="H23" s="1">
        <v>2022</v>
      </c>
      <c r="I23" s="1">
        <v>2023</v>
      </c>
      <c r="J23" s="1">
        <v>2024</v>
      </c>
      <c r="K23" s="1">
        <v>2025</v>
      </c>
      <c r="L23" s="1">
        <v>2026</v>
      </c>
      <c r="M23" s="1">
        <v>2027</v>
      </c>
      <c r="N23" s="1">
        <v>2028</v>
      </c>
      <c r="O23" s="1">
        <v>2029</v>
      </c>
      <c r="P23" s="1">
        <v>2030</v>
      </c>
      <c r="Q23" s="1">
        <v>2031</v>
      </c>
      <c r="R23" s="1">
        <v>2032</v>
      </c>
      <c r="S23" s="1">
        <v>2033</v>
      </c>
    </row>
    <row r="24" spans="1:19" ht="13.5" x14ac:dyDescent="0.25">
      <c r="A24" s="2" t="s">
        <v>1</v>
      </c>
      <c r="B24" s="3" t="s">
        <v>9</v>
      </c>
      <c r="C24" s="4"/>
      <c r="D24" s="5">
        <v>2</v>
      </c>
      <c r="E24" s="6"/>
      <c r="F24" s="8">
        <f>ROUNDUP(F15/$D24,0)</f>
        <v>37</v>
      </c>
      <c r="G24" s="8">
        <f t="shared" ref="G24:R24" si="8">ROUNDUP(G15/$D24,0)</f>
        <v>37</v>
      </c>
      <c r="H24" s="8">
        <f t="shared" si="8"/>
        <v>39</v>
      </c>
      <c r="I24" s="8">
        <f t="shared" si="8"/>
        <v>41</v>
      </c>
      <c r="J24" s="8">
        <f t="shared" si="8"/>
        <v>41</v>
      </c>
      <c r="K24" s="8">
        <f t="shared" si="8"/>
        <v>42</v>
      </c>
      <c r="L24" s="8">
        <f t="shared" si="8"/>
        <v>44</v>
      </c>
      <c r="M24" s="8">
        <f t="shared" si="8"/>
        <v>44</v>
      </c>
      <c r="N24" s="8">
        <f t="shared" si="8"/>
        <v>45</v>
      </c>
      <c r="O24" s="8">
        <f t="shared" si="8"/>
        <v>45</v>
      </c>
      <c r="P24" s="8">
        <f t="shared" si="8"/>
        <v>46</v>
      </c>
      <c r="Q24" s="8">
        <f t="shared" si="8"/>
        <v>47</v>
      </c>
      <c r="R24" s="8">
        <f t="shared" si="8"/>
        <v>47</v>
      </c>
      <c r="S24" s="8">
        <f>R24</f>
        <v>47</v>
      </c>
    </row>
    <row r="25" spans="1:19" ht="13.5" x14ac:dyDescent="0.25">
      <c r="A25" s="2" t="s">
        <v>2</v>
      </c>
      <c r="B25" s="3" t="s">
        <v>8</v>
      </c>
      <c r="C25" s="4"/>
      <c r="D25" s="5">
        <v>2</v>
      </c>
      <c r="E25" s="6"/>
      <c r="F25" s="8">
        <f t="shared" ref="F25:R27" si="9">ROUNDUP(F16/$D25,0)</f>
        <v>32</v>
      </c>
      <c r="G25" s="8">
        <f t="shared" si="9"/>
        <v>32</v>
      </c>
      <c r="H25" s="8">
        <f t="shared" si="9"/>
        <v>32</v>
      </c>
      <c r="I25" s="8">
        <f t="shared" si="9"/>
        <v>36</v>
      </c>
      <c r="J25" s="8">
        <f t="shared" si="9"/>
        <v>37</v>
      </c>
      <c r="K25" s="8">
        <f t="shared" si="9"/>
        <v>38</v>
      </c>
      <c r="L25" s="8">
        <f t="shared" si="9"/>
        <v>40</v>
      </c>
      <c r="M25" s="8">
        <f t="shared" si="9"/>
        <v>45</v>
      </c>
      <c r="N25" s="8">
        <f t="shared" si="9"/>
        <v>48</v>
      </c>
      <c r="O25" s="8">
        <f t="shared" si="9"/>
        <v>60</v>
      </c>
      <c r="P25" s="8">
        <f t="shared" si="9"/>
        <v>65</v>
      </c>
      <c r="Q25" s="8">
        <f t="shared" si="9"/>
        <v>73</v>
      </c>
      <c r="R25" s="8">
        <f t="shared" si="9"/>
        <v>76</v>
      </c>
      <c r="S25" s="8">
        <f t="shared" ref="S25:S27" si="10">R25</f>
        <v>76</v>
      </c>
    </row>
    <row r="26" spans="1:19" ht="13.5" x14ac:dyDescent="0.25">
      <c r="A26" s="2" t="s">
        <v>3</v>
      </c>
      <c r="B26" s="3" t="s">
        <v>10</v>
      </c>
      <c r="C26" s="4"/>
      <c r="D26" s="5">
        <v>1</v>
      </c>
      <c r="E26" s="6"/>
      <c r="F26" s="8">
        <f t="shared" si="9"/>
        <v>334</v>
      </c>
      <c r="G26" s="8">
        <f t="shared" si="9"/>
        <v>334</v>
      </c>
      <c r="H26" s="8">
        <f t="shared" si="9"/>
        <v>334</v>
      </c>
      <c r="I26" s="8">
        <f t="shared" si="9"/>
        <v>345</v>
      </c>
      <c r="J26" s="8">
        <f t="shared" si="9"/>
        <v>348</v>
      </c>
      <c r="K26" s="8">
        <f t="shared" si="9"/>
        <v>362</v>
      </c>
      <c r="L26" s="8">
        <f t="shared" si="9"/>
        <v>378</v>
      </c>
      <c r="M26" s="8">
        <f t="shared" si="9"/>
        <v>393</v>
      </c>
      <c r="N26" s="8">
        <f t="shared" si="9"/>
        <v>406</v>
      </c>
      <c r="O26" s="8">
        <f t="shared" si="9"/>
        <v>462</v>
      </c>
      <c r="P26" s="8">
        <f t="shared" si="9"/>
        <v>479</v>
      </c>
      <c r="Q26" s="8">
        <f t="shared" si="9"/>
        <v>516</v>
      </c>
      <c r="R26" s="8">
        <f t="shared" si="9"/>
        <v>518</v>
      </c>
      <c r="S26" s="8">
        <f t="shared" si="10"/>
        <v>518</v>
      </c>
    </row>
    <row r="27" spans="1:19" ht="13.5" x14ac:dyDescent="0.25">
      <c r="A27" s="2" t="s">
        <v>4</v>
      </c>
      <c r="B27" s="3" t="s">
        <v>10</v>
      </c>
      <c r="C27" s="4"/>
      <c r="D27" s="5">
        <v>1</v>
      </c>
      <c r="E27" s="6"/>
      <c r="F27" s="8">
        <f t="shared" si="9"/>
        <v>788</v>
      </c>
      <c r="G27" s="8">
        <f t="shared" si="9"/>
        <v>788</v>
      </c>
      <c r="H27" s="8">
        <f t="shared" si="9"/>
        <v>788</v>
      </c>
      <c r="I27" s="8">
        <f t="shared" si="9"/>
        <v>779</v>
      </c>
      <c r="J27" s="8">
        <f t="shared" si="9"/>
        <v>777</v>
      </c>
      <c r="K27" s="8">
        <f t="shared" si="9"/>
        <v>769</v>
      </c>
      <c r="L27" s="8">
        <f t="shared" si="9"/>
        <v>773</v>
      </c>
      <c r="M27" s="8">
        <f t="shared" si="9"/>
        <v>760</v>
      </c>
      <c r="N27" s="8">
        <f t="shared" si="9"/>
        <v>754</v>
      </c>
      <c r="O27" s="8">
        <f t="shared" si="9"/>
        <v>719</v>
      </c>
      <c r="P27" s="8">
        <f t="shared" si="9"/>
        <v>711</v>
      </c>
      <c r="Q27" s="8">
        <f t="shared" si="9"/>
        <v>679</v>
      </c>
      <c r="R27" s="8">
        <f t="shared" si="9"/>
        <v>678</v>
      </c>
      <c r="S27" s="8">
        <f t="shared" si="10"/>
        <v>678</v>
      </c>
    </row>
    <row r="28" spans="1:19" s="29" customFormat="1" ht="13.5" x14ac:dyDescent="0.2">
      <c r="A28" s="38" t="s">
        <v>33</v>
      </c>
      <c r="B28" s="39"/>
      <c r="C28" s="39"/>
      <c r="D28" s="39"/>
      <c r="E28" s="40"/>
      <c r="F28" s="40">
        <f t="shared" ref="F28:S28" si="11">SUM(F24:F27)</f>
        <v>1191</v>
      </c>
      <c r="G28" s="40">
        <f t="shared" si="11"/>
        <v>1191</v>
      </c>
      <c r="H28" s="40">
        <f t="shared" si="11"/>
        <v>1193</v>
      </c>
      <c r="I28" s="40">
        <f t="shared" si="11"/>
        <v>1201</v>
      </c>
      <c r="J28" s="40">
        <f t="shared" si="11"/>
        <v>1203</v>
      </c>
      <c r="K28" s="40">
        <f t="shared" si="11"/>
        <v>1211</v>
      </c>
      <c r="L28" s="40">
        <f t="shared" si="11"/>
        <v>1235</v>
      </c>
      <c r="M28" s="40">
        <f t="shared" si="11"/>
        <v>1242</v>
      </c>
      <c r="N28" s="40">
        <f t="shared" si="11"/>
        <v>1253</v>
      </c>
      <c r="O28" s="40">
        <f t="shared" si="11"/>
        <v>1286</v>
      </c>
      <c r="P28" s="40">
        <f t="shared" si="11"/>
        <v>1301</v>
      </c>
      <c r="Q28" s="40">
        <f t="shared" si="11"/>
        <v>1315</v>
      </c>
      <c r="R28" s="40">
        <f t="shared" si="11"/>
        <v>1319</v>
      </c>
      <c r="S28" s="40">
        <f t="shared" si="11"/>
        <v>1319</v>
      </c>
    </row>
    <row r="31" spans="1:19" ht="36" customHeight="1" x14ac:dyDescent="0.2">
      <c r="A31" s="62" t="s">
        <v>99</v>
      </c>
      <c r="E31" s="33">
        <v>0.08</v>
      </c>
      <c r="F31" s="65" t="s">
        <v>104</v>
      </c>
      <c r="G31" s="65"/>
      <c r="H31" s="65"/>
      <c r="I31" s="65"/>
    </row>
    <row r="32" spans="1:19" ht="27" x14ac:dyDescent="0.2">
      <c r="A32" s="1" t="s">
        <v>52</v>
      </c>
      <c r="B32" s="1" t="s">
        <v>11</v>
      </c>
      <c r="C32" s="1"/>
      <c r="D32" s="1" t="s">
        <v>16</v>
      </c>
      <c r="E32" s="1" t="s">
        <v>53</v>
      </c>
      <c r="F32" s="1">
        <v>2020</v>
      </c>
      <c r="G32" s="1">
        <v>2021</v>
      </c>
      <c r="H32" s="1">
        <v>2022</v>
      </c>
      <c r="I32" s="1">
        <v>2023</v>
      </c>
      <c r="J32" s="1">
        <v>2024</v>
      </c>
      <c r="K32" s="1">
        <v>2025</v>
      </c>
      <c r="L32" s="1">
        <v>2026</v>
      </c>
      <c r="M32" s="1">
        <v>2027</v>
      </c>
      <c r="N32" s="1">
        <v>2028</v>
      </c>
      <c r="O32" s="1">
        <v>2029</v>
      </c>
      <c r="P32" s="1">
        <v>2030</v>
      </c>
      <c r="Q32" s="1">
        <v>2031</v>
      </c>
      <c r="R32" s="1">
        <v>2032</v>
      </c>
      <c r="S32" s="1">
        <v>2033</v>
      </c>
    </row>
    <row r="33" spans="1:19" ht="13.5" x14ac:dyDescent="0.25">
      <c r="A33" s="2" t="s">
        <v>1</v>
      </c>
      <c r="B33" s="3" t="s">
        <v>9</v>
      </c>
      <c r="C33" s="4"/>
      <c r="D33" s="16">
        <f>0.8*3400000/25</f>
        <v>108800</v>
      </c>
      <c r="E33" s="6">
        <f>E$31*D33</f>
        <v>8704</v>
      </c>
      <c r="F33" s="8"/>
      <c r="G33" s="8"/>
      <c r="H33" s="8">
        <f>$D33*H24</f>
        <v>4243200</v>
      </c>
      <c r="I33" s="8">
        <f>MAX($D33*(I24-H24),0)-MIN($D33*(I24-H24),0)*$E$31</f>
        <v>217600</v>
      </c>
      <c r="J33" s="8">
        <f t="shared" ref="J33:R36" si="12">MAX($D33*(J24-I24),0)-MIN($D33*(J24-I24),0)*$E$31</f>
        <v>0</v>
      </c>
      <c r="K33" s="8">
        <f t="shared" si="12"/>
        <v>108800</v>
      </c>
      <c r="L33" s="8">
        <f t="shared" si="12"/>
        <v>217600</v>
      </c>
      <c r="M33" s="8">
        <f t="shared" si="12"/>
        <v>0</v>
      </c>
      <c r="N33" s="8">
        <f t="shared" si="12"/>
        <v>108800</v>
      </c>
      <c r="O33" s="8">
        <f t="shared" si="12"/>
        <v>0</v>
      </c>
      <c r="P33" s="8">
        <f t="shared" si="12"/>
        <v>108800</v>
      </c>
      <c r="Q33" s="8">
        <f t="shared" si="12"/>
        <v>108800</v>
      </c>
      <c r="R33" s="8">
        <f t="shared" si="12"/>
        <v>0</v>
      </c>
      <c r="S33" s="8">
        <f>E33*S24</f>
        <v>409088</v>
      </c>
    </row>
    <row r="34" spans="1:19" ht="13.5" x14ac:dyDescent="0.25">
      <c r="A34" s="2" t="s">
        <v>2</v>
      </c>
      <c r="B34" s="3" t="s">
        <v>8</v>
      </c>
      <c r="C34" s="4"/>
      <c r="D34" s="16">
        <f>D33*0.9</f>
        <v>97920</v>
      </c>
      <c r="E34" s="6">
        <f t="shared" ref="E34:E36" si="13">E$31*D34</f>
        <v>7833.6</v>
      </c>
      <c r="F34" s="8"/>
      <c r="G34" s="8"/>
      <c r="H34" s="8">
        <f t="shared" ref="H34:H36" si="14">$D34*H25</f>
        <v>3133440</v>
      </c>
      <c r="I34" s="8">
        <f>MAX($D34*(I25-H25),0)-MIN($D34*(I25-H25),0)*$E$31</f>
        <v>391680</v>
      </c>
      <c r="J34" s="8">
        <f t="shared" si="12"/>
        <v>97920</v>
      </c>
      <c r="K34" s="8">
        <f t="shared" si="12"/>
        <v>97920</v>
      </c>
      <c r="L34" s="8">
        <f t="shared" si="12"/>
        <v>195840</v>
      </c>
      <c r="M34" s="8">
        <f t="shared" si="12"/>
        <v>489600</v>
      </c>
      <c r="N34" s="8">
        <f t="shared" si="12"/>
        <v>293760</v>
      </c>
      <c r="O34" s="8">
        <f t="shared" si="12"/>
        <v>1175040</v>
      </c>
      <c r="P34" s="8">
        <f t="shared" si="12"/>
        <v>489600</v>
      </c>
      <c r="Q34" s="8">
        <f t="shared" si="12"/>
        <v>783360</v>
      </c>
      <c r="R34" s="8">
        <f t="shared" si="12"/>
        <v>293760</v>
      </c>
      <c r="S34" s="8">
        <f t="shared" ref="S34:S36" si="15">E34*S25</f>
        <v>595353.59999999998</v>
      </c>
    </row>
    <row r="35" spans="1:19" ht="13.5" x14ac:dyDescent="0.25">
      <c r="A35" s="2" t="s">
        <v>3</v>
      </c>
      <c r="B35" s="3" t="s">
        <v>10</v>
      </c>
      <c r="C35" s="4"/>
      <c r="D35" s="16">
        <f>D33*0.25</f>
        <v>27200</v>
      </c>
      <c r="E35" s="6">
        <f t="shared" si="13"/>
        <v>2176</v>
      </c>
      <c r="F35" s="8"/>
      <c r="G35" s="8"/>
      <c r="H35" s="8">
        <f t="shared" si="14"/>
        <v>9084800</v>
      </c>
      <c r="I35" s="8">
        <f>MAX($D35*(I26-H26),0)-MIN($D35*(I26-H26),0)*$E$31</f>
        <v>299200</v>
      </c>
      <c r="J35" s="8">
        <f t="shared" si="12"/>
        <v>81600</v>
      </c>
      <c r="K35" s="8">
        <f t="shared" si="12"/>
        <v>380800</v>
      </c>
      <c r="L35" s="8">
        <f t="shared" si="12"/>
        <v>435200</v>
      </c>
      <c r="M35" s="8">
        <f t="shared" si="12"/>
        <v>408000</v>
      </c>
      <c r="N35" s="8">
        <f t="shared" si="12"/>
        <v>353600</v>
      </c>
      <c r="O35" s="8">
        <f t="shared" si="12"/>
        <v>1523200</v>
      </c>
      <c r="P35" s="8">
        <f t="shared" si="12"/>
        <v>462400</v>
      </c>
      <c r="Q35" s="8">
        <f t="shared" si="12"/>
        <v>1006400</v>
      </c>
      <c r="R35" s="8">
        <f t="shared" si="12"/>
        <v>54400</v>
      </c>
      <c r="S35" s="8">
        <f t="shared" si="15"/>
        <v>1127168</v>
      </c>
    </row>
    <row r="36" spans="1:19" ht="13.5" x14ac:dyDescent="0.25">
      <c r="A36" s="2" t="s">
        <v>4</v>
      </c>
      <c r="B36" s="3" t="s">
        <v>10</v>
      </c>
      <c r="C36" s="4"/>
      <c r="D36" s="16">
        <f>D35</f>
        <v>27200</v>
      </c>
      <c r="E36" s="6">
        <f t="shared" si="13"/>
        <v>2176</v>
      </c>
      <c r="F36" s="8"/>
      <c r="G36" s="8"/>
      <c r="H36" s="8">
        <f t="shared" si="14"/>
        <v>21433600</v>
      </c>
      <c r="I36" s="8">
        <f>MAX($D36*(I27-H27),0)-MIN($D36*(I27-H27),0)*$E$31</f>
        <v>19584</v>
      </c>
      <c r="J36" s="8">
        <f t="shared" si="12"/>
        <v>4352</v>
      </c>
      <c r="K36" s="8">
        <f t="shared" si="12"/>
        <v>17408</v>
      </c>
      <c r="L36" s="8">
        <f t="shared" si="12"/>
        <v>108800</v>
      </c>
      <c r="M36" s="8">
        <f t="shared" si="12"/>
        <v>28288</v>
      </c>
      <c r="N36" s="8">
        <f t="shared" si="12"/>
        <v>13056</v>
      </c>
      <c r="O36" s="8">
        <f t="shared" si="12"/>
        <v>76160</v>
      </c>
      <c r="P36" s="8">
        <f t="shared" si="12"/>
        <v>17408</v>
      </c>
      <c r="Q36" s="8">
        <f t="shared" si="12"/>
        <v>69632</v>
      </c>
      <c r="R36" s="8">
        <f t="shared" si="12"/>
        <v>2176</v>
      </c>
      <c r="S36" s="8">
        <f t="shared" si="15"/>
        <v>1475328</v>
      </c>
    </row>
    <row r="37" spans="1:19" s="29" customFormat="1" ht="13.5" x14ac:dyDescent="0.2">
      <c r="A37" s="38" t="s">
        <v>33</v>
      </c>
      <c r="B37" s="39"/>
      <c r="C37" s="39"/>
      <c r="D37" s="39"/>
      <c r="E37" s="40"/>
      <c r="F37" s="40">
        <f t="shared" ref="F37:H37" si="16">SUM(F33:F36)</f>
        <v>0</v>
      </c>
      <c r="G37" s="40">
        <f t="shared" si="16"/>
        <v>0</v>
      </c>
      <c r="H37" s="40">
        <f t="shared" si="16"/>
        <v>37895040</v>
      </c>
      <c r="I37" s="40">
        <f t="shared" ref="I37:S37" si="17">SUM(I33:I36)</f>
        <v>928064</v>
      </c>
      <c r="J37" s="40">
        <f t="shared" si="17"/>
        <v>183872</v>
      </c>
      <c r="K37" s="40">
        <f t="shared" si="17"/>
        <v>604928</v>
      </c>
      <c r="L37" s="40">
        <f t="shared" si="17"/>
        <v>957440</v>
      </c>
      <c r="M37" s="40">
        <f t="shared" si="17"/>
        <v>925888</v>
      </c>
      <c r="N37" s="40">
        <f t="shared" si="17"/>
        <v>769216</v>
      </c>
      <c r="O37" s="40">
        <f t="shared" si="17"/>
        <v>2774400</v>
      </c>
      <c r="P37" s="40">
        <f t="shared" si="17"/>
        <v>1078208</v>
      </c>
      <c r="Q37" s="40">
        <f t="shared" si="17"/>
        <v>1968192</v>
      </c>
      <c r="R37" s="40">
        <f t="shared" si="17"/>
        <v>350336</v>
      </c>
      <c r="S37" s="40">
        <f t="shared" si="17"/>
        <v>3606937.6000000001</v>
      </c>
    </row>
    <row r="40" spans="1:19" ht="36" x14ac:dyDescent="0.2">
      <c r="A40" s="62" t="s">
        <v>100</v>
      </c>
      <c r="F40" s="65" t="s">
        <v>105</v>
      </c>
      <c r="G40" s="65"/>
      <c r="H40" s="65"/>
      <c r="I40" s="65"/>
    </row>
    <row r="41" spans="1:19" ht="27" x14ac:dyDescent="0.2">
      <c r="A41" s="1" t="s">
        <v>17</v>
      </c>
      <c r="B41" s="1" t="s">
        <v>11</v>
      </c>
      <c r="C41" s="1" t="s">
        <v>18</v>
      </c>
      <c r="D41" s="1" t="s">
        <v>19</v>
      </c>
      <c r="E41" s="1"/>
      <c r="F41" s="1">
        <v>2020</v>
      </c>
      <c r="G41" s="1">
        <v>2021</v>
      </c>
      <c r="H41" s="1">
        <v>2022</v>
      </c>
      <c r="I41" s="1">
        <v>2023</v>
      </c>
      <c r="J41" s="1">
        <v>2024</v>
      </c>
      <c r="K41" s="1">
        <v>2025</v>
      </c>
      <c r="L41" s="1">
        <v>2026</v>
      </c>
      <c r="M41" s="1">
        <v>2027</v>
      </c>
      <c r="N41" s="1">
        <v>2028</v>
      </c>
      <c r="O41" s="1">
        <v>2029</v>
      </c>
      <c r="P41" s="1">
        <v>2030</v>
      </c>
      <c r="Q41" s="1">
        <v>2031</v>
      </c>
      <c r="R41" s="1">
        <v>2032</v>
      </c>
      <c r="S41" s="1">
        <v>2033</v>
      </c>
    </row>
    <row r="42" spans="1:19" s="22" customFormat="1" ht="13.5" x14ac:dyDescent="0.25">
      <c r="A42" s="17" t="s">
        <v>20</v>
      </c>
      <c r="B42" s="18"/>
      <c r="C42" s="19"/>
      <c r="D42" s="19"/>
      <c r="E42" s="20"/>
      <c r="F42" s="21"/>
      <c r="G42" s="21"/>
      <c r="H42" s="21">
        <v>3</v>
      </c>
      <c r="I42" s="21">
        <v>12</v>
      </c>
      <c r="J42" s="21">
        <v>12</v>
      </c>
      <c r="K42" s="21">
        <v>12</v>
      </c>
      <c r="L42" s="21">
        <v>12</v>
      </c>
      <c r="M42" s="21">
        <v>12</v>
      </c>
      <c r="N42" s="21">
        <v>12</v>
      </c>
      <c r="O42" s="21">
        <v>12</v>
      </c>
      <c r="P42" s="21">
        <v>12</v>
      </c>
      <c r="Q42" s="21">
        <v>12</v>
      </c>
      <c r="R42" s="21">
        <v>12</v>
      </c>
      <c r="S42" s="21">
        <v>0</v>
      </c>
    </row>
    <row r="43" spans="1:19" ht="13.5" x14ac:dyDescent="0.25">
      <c r="A43" s="2" t="s">
        <v>1</v>
      </c>
      <c r="B43" s="3" t="s">
        <v>9</v>
      </c>
      <c r="C43" s="16">
        <v>750</v>
      </c>
      <c r="D43" s="16">
        <v>1600</v>
      </c>
      <c r="E43" s="6"/>
      <c r="F43" s="8"/>
      <c r="G43" s="8"/>
      <c r="H43" s="8">
        <f>H24*H$42*($C43+$D43)</f>
        <v>274950</v>
      </c>
      <c r="I43" s="8">
        <f t="shared" ref="I43:R43" si="18">I24*I$42*($C43+$D43)</f>
        <v>1156200</v>
      </c>
      <c r="J43" s="8">
        <f t="shared" si="18"/>
        <v>1156200</v>
      </c>
      <c r="K43" s="8">
        <f t="shared" si="18"/>
        <v>1184400</v>
      </c>
      <c r="L43" s="8">
        <f t="shared" si="18"/>
        <v>1240800</v>
      </c>
      <c r="M43" s="8">
        <f t="shared" si="18"/>
        <v>1240800</v>
      </c>
      <c r="N43" s="8">
        <f t="shared" si="18"/>
        <v>1269000</v>
      </c>
      <c r="O43" s="8">
        <f t="shared" si="18"/>
        <v>1269000</v>
      </c>
      <c r="P43" s="8">
        <f t="shared" si="18"/>
        <v>1297200</v>
      </c>
      <c r="Q43" s="8">
        <f t="shared" si="18"/>
        <v>1325400</v>
      </c>
      <c r="R43" s="8">
        <f t="shared" si="18"/>
        <v>1325400</v>
      </c>
      <c r="S43" s="8">
        <f t="shared" ref="S43:S46" si="19">S24*S$42*(N43+O43)</f>
        <v>0</v>
      </c>
    </row>
    <row r="44" spans="1:19" ht="13.5" x14ac:dyDescent="0.25">
      <c r="A44" s="2" t="s">
        <v>2</v>
      </c>
      <c r="B44" s="3" t="s">
        <v>8</v>
      </c>
      <c r="C44" s="16">
        <v>750</v>
      </c>
      <c r="D44" s="16">
        <v>1600</v>
      </c>
      <c r="E44" s="6"/>
      <c r="F44" s="8"/>
      <c r="G44" s="8"/>
      <c r="H44" s="8">
        <f t="shared" ref="H44:R46" si="20">H25*H$42*($C44+$D44)</f>
        <v>225600</v>
      </c>
      <c r="I44" s="8">
        <f t="shared" si="20"/>
        <v>1015200</v>
      </c>
      <c r="J44" s="8">
        <f t="shared" si="20"/>
        <v>1043400</v>
      </c>
      <c r="K44" s="8">
        <f t="shared" si="20"/>
        <v>1071600</v>
      </c>
      <c r="L44" s="8">
        <f t="shared" si="20"/>
        <v>1128000</v>
      </c>
      <c r="M44" s="8">
        <f t="shared" si="20"/>
        <v>1269000</v>
      </c>
      <c r="N44" s="8">
        <f t="shared" si="20"/>
        <v>1353600</v>
      </c>
      <c r="O44" s="8">
        <f t="shared" si="20"/>
        <v>1692000</v>
      </c>
      <c r="P44" s="8">
        <f t="shared" si="20"/>
        <v>1833000</v>
      </c>
      <c r="Q44" s="8">
        <f t="shared" si="20"/>
        <v>2058600</v>
      </c>
      <c r="R44" s="8">
        <f t="shared" si="20"/>
        <v>2143200</v>
      </c>
      <c r="S44" s="8">
        <f t="shared" si="19"/>
        <v>0</v>
      </c>
    </row>
    <row r="45" spans="1:19" ht="13.5" x14ac:dyDescent="0.25">
      <c r="A45" s="2" t="s">
        <v>3</v>
      </c>
      <c r="B45" s="3" t="s">
        <v>10</v>
      </c>
      <c r="C45" s="16">
        <v>425</v>
      </c>
      <c r="D45" s="16">
        <v>1070</v>
      </c>
      <c r="E45" s="6"/>
      <c r="F45" s="8"/>
      <c r="G45" s="8"/>
      <c r="H45" s="8">
        <f t="shared" si="20"/>
        <v>1497990</v>
      </c>
      <c r="I45" s="8">
        <f t="shared" si="20"/>
        <v>6189300</v>
      </c>
      <c r="J45" s="8">
        <f t="shared" si="20"/>
        <v>6243120</v>
      </c>
      <c r="K45" s="8">
        <f t="shared" si="20"/>
        <v>6494280</v>
      </c>
      <c r="L45" s="8">
        <f t="shared" si="20"/>
        <v>6781320</v>
      </c>
      <c r="M45" s="8">
        <f t="shared" si="20"/>
        <v>7050420</v>
      </c>
      <c r="N45" s="8">
        <f t="shared" si="20"/>
        <v>7283640</v>
      </c>
      <c r="O45" s="8">
        <f t="shared" si="20"/>
        <v>8288280</v>
      </c>
      <c r="P45" s="8">
        <f t="shared" si="20"/>
        <v>8593260</v>
      </c>
      <c r="Q45" s="8">
        <f t="shared" si="20"/>
        <v>9257040</v>
      </c>
      <c r="R45" s="8">
        <f t="shared" si="20"/>
        <v>9292920</v>
      </c>
      <c r="S45" s="8">
        <f t="shared" si="19"/>
        <v>0</v>
      </c>
    </row>
    <row r="46" spans="1:19" ht="13.5" x14ac:dyDescent="0.25">
      <c r="A46" s="2" t="s">
        <v>4</v>
      </c>
      <c r="B46" s="3" t="s">
        <v>10</v>
      </c>
      <c r="C46" s="16">
        <v>425</v>
      </c>
      <c r="D46" s="16">
        <v>1070</v>
      </c>
      <c r="E46" s="6"/>
      <c r="F46" s="8"/>
      <c r="G46" s="8"/>
      <c r="H46" s="8">
        <f t="shared" si="20"/>
        <v>3534180</v>
      </c>
      <c r="I46" s="8">
        <f t="shared" si="20"/>
        <v>13975260</v>
      </c>
      <c r="J46" s="8">
        <f t="shared" si="20"/>
        <v>13939380</v>
      </c>
      <c r="K46" s="8">
        <f t="shared" si="20"/>
        <v>13795860</v>
      </c>
      <c r="L46" s="8">
        <f t="shared" si="20"/>
        <v>13867620</v>
      </c>
      <c r="M46" s="8">
        <f t="shared" si="20"/>
        <v>13634400</v>
      </c>
      <c r="N46" s="8">
        <f t="shared" si="20"/>
        <v>13526760</v>
      </c>
      <c r="O46" s="8">
        <f t="shared" si="20"/>
        <v>12898860</v>
      </c>
      <c r="P46" s="8">
        <f t="shared" si="20"/>
        <v>12755340</v>
      </c>
      <c r="Q46" s="8">
        <f t="shared" si="20"/>
        <v>12181260</v>
      </c>
      <c r="R46" s="8">
        <f t="shared" si="20"/>
        <v>12163320</v>
      </c>
      <c r="S46" s="8">
        <f t="shared" si="19"/>
        <v>0</v>
      </c>
    </row>
    <row r="47" spans="1:19" s="29" customFormat="1" ht="13.5" x14ac:dyDescent="0.2">
      <c r="A47" s="38" t="s">
        <v>33</v>
      </c>
      <c r="B47" s="39"/>
      <c r="C47" s="39"/>
      <c r="D47" s="39"/>
      <c r="E47" s="40"/>
      <c r="F47" s="40">
        <f>SUM(F43:F46)</f>
        <v>0</v>
      </c>
      <c r="G47" s="40">
        <f>SUM(G43:G46)</f>
        <v>0</v>
      </c>
      <c r="H47" s="40">
        <f t="shared" ref="H47:I47" si="21">SUM(H43:H46)</f>
        <v>5532720</v>
      </c>
      <c r="I47" s="40">
        <f t="shared" si="21"/>
        <v>22335960</v>
      </c>
      <c r="J47" s="40">
        <f t="shared" ref="J47:S47" si="22">SUM(J43:J46)</f>
        <v>22382100</v>
      </c>
      <c r="K47" s="40">
        <f t="shared" si="22"/>
        <v>22546140</v>
      </c>
      <c r="L47" s="40">
        <f t="shared" si="22"/>
        <v>23017740</v>
      </c>
      <c r="M47" s="40">
        <f t="shared" si="22"/>
        <v>23194620</v>
      </c>
      <c r="N47" s="40">
        <f t="shared" si="22"/>
        <v>23433000</v>
      </c>
      <c r="O47" s="40">
        <f t="shared" si="22"/>
        <v>24148140</v>
      </c>
      <c r="P47" s="40">
        <f t="shared" si="22"/>
        <v>24478800</v>
      </c>
      <c r="Q47" s="40">
        <f t="shared" si="22"/>
        <v>24822300</v>
      </c>
      <c r="R47" s="40">
        <f t="shared" si="22"/>
        <v>24924840</v>
      </c>
      <c r="S47" s="40">
        <f t="shared" si="22"/>
        <v>0</v>
      </c>
    </row>
    <row r="50" spans="1:32" ht="24" x14ac:dyDescent="0.2">
      <c r="A50" s="62" t="s">
        <v>101</v>
      </c>
      <c r="E50" s="30">
        <v>0.08</v>
      </c>
      <c r="F50" s="65" t="s">
        <v>106</v>
      </c>
      <c r="G50" s="65"/>
      <c r="H50" s="65"/>
      <c r="I50" s="65"/>
      <c r="U50" t="s">
        <v>67</v>
      </c>
    </row>
    <row r="51" spans="1:32" ht="27" x14ac:dyDescent="0.2">
      <c r="A51" s="1" t="s">
        <v>21</v>
      </c>
      <c r="B51" s="1"/>
      <c r="C51" s="1" t="s">
        <v>22</v>
      </c>
      <c r="D51" s="1" t="s">
        <v>23</v>
      </c>
      <c r="E51" s="1" t="s">
        <v>53</v>
      </c>
      <c r="F51" s="1">
        <v>2020</v>
      </c>
      <c r="G51" s="1">
        <v>2021</v>
      </c>
      <c r="H51" s="1">
        <v>2022</v>
      </c>
      <c r="I51" s="1">
        <v>2023</v>
      </c>
      <c r="J51" s="1">
        <v>2024</v>
      </c>
      <c r="K51" s="1">
        <v>2025</v>
      </c>
      <c r="L51" s="1">
        <v>2026</v>
      </c>
      <c r="M51" s="1">
        <v>2027</v>
      </c>
      <c r="N51" s="1">
        <v>2028</v>
      </c>
      <c r="O51" s="1">
        <v>2029</v>
      </c>
      <c r="P51" s="1">
        <v>2030</v>
      </c>
      <c r="Q51" s="1">
        <v>2031</v>
      </c>
      <c r="R51" s="1">
        <v>2032</v>
      </c>
      <c r="S51" s="1">
        <v>2033</v>
      </c>
      <c r="U51" s="1">
        <v>2022</v>
      </c>
      <c r="V51" s="1">
        <v>2023</v>
      </c>
      <c r="W51" s="1">
        <v>2024</v>
      </c>
      <c r="X51" s="1">
        <v>2025</v>
      </c>
      <c r="Y51" s="1">
        <v>2026</v>
      </c>
      <c r="Z51" s="1">
        <v>2027</v>
      </c>
      <c r="AA51" s="1">
        <v>2028</v>
      </c>
      <c r="AB51" s="1">
        <v>2029</v>
      </c>
      <c r="AC51" s="1">
        <v>2030</v>
      </c>
      <c r="AD51" s="1">
        <v>2031</v>
      </c>
      <c r="AE51" s="1">
        <v>2032</v>
      </c>
      <c r="AF51" s="1">
        <v>2033</v>
      </c>
    </row>
    <row r="52" spans="1:32" s="22" customFormat="1" ht="13.5" x14ac:dyDescent="0.25">
      <c r="A52" s="17" t="s">
        <v>20</v>
      </c>
      <c r="B52" s="18"/>
      <c r="C52" s="19"/>
      <c r="D52" s="19"/>
      <c r="E52" s="20"/>
      <c r="F52" s="21"/>
      <c r="G52" s="21"/>
      <c r="H52" s="21">
        <v>3</v>
      </c>
      <c r="I52" s="21">
        <v>12</v>
      </c>
      <c r="J52" s="21">
        <v>12</v>
      </c>
      <c r="K52" s="21">
        <v>12</v>
      </c>
      <c r="L52" s="21">
        <v>12</v>
      </c>
      <c r="M52" s="21">
        <v>12</v>
      </c>
      <c r="N52" s="21">
        <v>12</v>
      </c>
      <c r="O52" s="21">
        <v>12</v>
      </c>
      <c r="P52" s="21">
        <v>12</v>
      </c>
      <c r="Q52" s="21">
        <v>12</v>
      </c>
      <c r="R52" s="21">
        <v>12</v>
      </c>
      <c r="S52" s="21">
        <v>0</v>
      </c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</row>
    <row r="53" spans="1:32" ht="13.5" x14ac:dyDescent="0.25">
      <c r="A53" s="17" t="s">
        <v>59</v>
      </c>
      <c r="B53" s="18"/>
      <c r="C53" s="19"/>
      <c r="D53" s="19"/>
      <c r="E53" s="20"/>
      <c r="F53" s="21"/>
      <c r="G53" s="21"/>
      <c r="H53" s="21">
        <v>420000</v>
      </c>
      <c r="U53" s="8">
        <f>H53/1000</f>
        <v>420</v>
      </c>
      <c r="V53" s="8">
        <f>I53/1000</f>
        <v>0</v>
      </c>
      <c r="W53" s="8">
        <f t="shared" ref="W53:AF54" si="23">J53/1000</f>
        <v>0</v>
      </c>
      <c r="X53" s="8">
        <f t="shared" si="23"/>
        <v>0</v>
      </c>
      <c r="Y53" s="8">
        <f t="shared" si="23"/>
        <v>0</v>
      </c>
      <c r="Z53" s="8">
        <f t="shared" si="23"/>
        <v>0</v>
      </c>
      <c r="AA53" s="8">
        <f t="shared" si="23"/>
        <v>0</v>
      </c>
      <c r="AB53" s="8">
        <f t="shared" si="23"/>
        <v>0</v>
      </c>
      <c r="AC53" s="8">
        <f t="shared" si="23"/>
        <v>0</v>
      </c>
      <c r="AD53" s="8">
        <f t="shared" si="23"/>
        <v>0</v>
      </c>
      <c r="AE53" s="8">
        <f t="shared" si="23"/>
        <v>0</v>
      </c>
      <c r="AF53" s="8">
        <f t="shared" si="23"/>
        <v>0</v>
      </c>
    </row>
    <row r="54" spans="1:32" ht="13.5" x14ac:dyDescent="0.25">
      <c r="A54" s="17" t="s">
        <v>92</v>
      </c>
      <c r="B54" s="18">
        <v>0.1</v>
      </c>
      <c r="C54" s="19"/>
      <c r="D54" s="19"/>
      <c r="E54" s="20"/>
      <c r="F54" s="21"/>
      <c r="G54" s="21"/>
      <c r="H54" s="21"/>
      <c r="I54" s="21">
        <f>$B54*I55</f>
        <v>28000</v>
      </c>
      <c r="J54" s="21">
        <f t="shared" ref="J54:Q54" si="24">$B54*J55</f>
        <v>28000</v>
      </c>
      <c r="K54" s="21">
        <f t="shared" si="24"/>
        <v>28000</v>
      </c>
      <c r="L54" s="21">
        <f t="shared" si="24"/>
        <v>28000</v>
      </c>
      <c r="M54" s="21">
        <f t="shared" si="24"/>
        <v>28000</v>
      </c>
      <c r="N54" s="21">
        <f t="shared" si="24"/>
        <v>28000</v>
      </c>
      <c r="O54" s="21">
        <f t="shared" si="24"/>
        <v>28000</v>
      </c>
      <c r="P54" s="21">
        <f t="shared" si="24"/>
        <v>28000</v>
      </c>
      <c r="Q54" s="21">
        <f t="shared" si="24"/>
        <v>28000</v>
      </c>
      <c r="R54" s="21"/>
      <c r="S54" s="21"/>
      <c r="U54" s="8">
        <f>H54/1000</f>
        <v>0</v>
      </c>
      <c r="V54" s="8">
        <f>I54/1000</f>
        <v>28</v>
      </c>
      <c r="W54" s="8">
        <f t="shared" si="23"/>
        <v>28</v>
      </c>
      <c r="X54" s="8">
        <f t="shared" si="23"/>
        <v>28</v>
      </c>
      <c r="Y54" s="8">
        <f t="shared" si="23"/>
        <v>28</v>
      </c>
      <c r="Z54" s="8">
        <f t="shared" si="23"/>
        <v>28</v>
      </c>
      <c r="AA54" s="8">
        <f t="shared" si="23"/>
        <v>28</v>
      </c>
      <c r="AB54" s="8">
        <f t="shared" si="23"/>
        <v>28</v>
      </c>
      <c r="AC54" s="8">
        <f t="shared" si="23"/>
        <v>28</v>
      </c>
      <c r="AD54" s="8">
        <f t="shared" si="23"/>
        <v>28</v>
      </c>
      <c r="AE54" s="8">
        <f t="shared" si="23"/>
        <v>0</v>
      </c>
      <c r="AF54" s="8">
        <f t="shared" si="23"/>
        <v>0</v>
      </c>
    </row>
    <row r="55" spans="1:32" s="22" customFormat="1" ht="14.25" thickBot="1" x14ac:dyDescent="0.3">
      <c r="A55" s="49" t="s">
        <v>60</v>
      </c>
      <c r="B55" s="50"/>
      <c r="C55" s="51"/>
      <c r="D55" s="51"/>
      <c r="E55" s="52"/>
      <c r="F55" s="53"/>
      <c r="G55" s="53"/>
      <c r="H55" s="53">
        <v>280000</v>
      </c>
      <c r="I55" s="53">
        <f>H55</f>
        <v>280000</v>
      </c>
      <c r="J55" s="53">
        <f t="shared" ref="J55:R55" si="25">I55</f>
        <v>280000</v>
      </c>
      <c r="K55" s="53">
        <f t="shared" si="25"/>
        <v>280000</v>
      </c>
      <c r="L55" s="53">
        <f t="shared" si="25"/>
        <v>280000</v>
      </c>
      <c r="M55" s="53">
        <f t="shared" si="25"/>
        <v>280000</v>
      </c>
      <c r="N55" s="53">
        <f t="shared" si="25"/>
        <v>280000</v>
      </c>
      <c r="O55" s="53">
        <f t="shared" si="25"/>
        <v>280000</v>
      </c>
      <c r="P55" s="53">
        <f t="shared" si="25"/>
        <v>280000</v>
      </c>
      <c r="Q55" s="53">
        <f t="shared" si="25"/>
        <v>280000</v>
      </c>
      <c r="R55" s="53">
        <f t="shared" si="25"/>
        <v>280000</v>
      </c>
      <c r="S55" s="53"/>
      <c r="U55" s="56">
        <f>H55/1000</f>
        <v>280</v>
      </c>
      <c r="V55" s="56">
        <f t="shared" ref="V55" si="26">I55/1000</f>
        <v>280</v>
      </c>
      <c r="W55" s="56">
        <f t="shared" ref="W55:AF55" si="27">J55/1000</f>
        <v>280</v>
      </c>
      <c r="X55" s="56">
        <f t="shared" si="27"/>
        <v>280</v>
      </c>
      <c r="Y55" s="56">
        <f t="shared" si="27"/>
        <v>280</v>
      </c>
      <c r="Z55" s="56">
        <f t="shared" si="27"/>
        <v>280</v>
      </c>
      <c r="AA55" s="56">
        <f t="shared" si="27"/>
        <v>280</v>
      </c>
      <c r="AB55" s="56">
        <f t="shared" si="27"/>
        <v>280</v>
      </c>
      <c r="AC55" s="56">
        <f t="shared" si="27"/>
        <v>280</v>
      </c>
      <c r="AD55" s="56">
        <f t="shared" si="27"/>
        <v>280</v>
      </c>
      <c r="AE55" s="56">
        <f t="shared" si="27"/>
        <v>280</v>
      </c>
      <c r="AF55" s="56">
        <f t="shared" si="27"/>
        <v>0</v>
      </c>
    </row>
    <row r="56" spans="1:32" ht="14.25" thickTop="1" x14ac:dyDescent="0.25">
      <c r="A56" s="44" t="s">
        <v>61</v>
      </c>
      <c r="B56" s="45"/>
      <c r="C56" s="46">
        <v>8.5</v>
      </c>
      <c r="D56" s="46"/>
      <c r="E56" s="54"/>
      <c r="F56" s="48"/>
      <c r="G56" s="48"/>
      <c r="H56" s="48">
        <f>$C56*H53</f>
        <v>3570000</v>
      </c>
    </row>
    <row r="57" spans="1:32" ht="13.5" x14ac:dyDescent="0.25">
      <c r="A57" s="2" t="s">
        <v>62</v>
      </c>
      <c r="B57" s="3"/>
      <c r="C57" s="16"/>
      <c r="D57" s="16"/>
      <c r="E57" s="20"/>
      <c r="F57" s="8"/>
      <c r="G57" s="8"/>
      <c r="H57" s="8"/>
      <c r="I57" s="8">
        <f t="shared" ref="I57:S57" si="28">$C56*I54</f>
        <v>238000</v>
      </c>
      <c r="J57" s="8">
        <f t="shared" si="28"/>
        <v>238000</v>
      </c>
      <c r="K57" s="8">
        <f t="shared" si="28"/>
        <v>238000</v>
      </c>
      <c r="L57" s="8">
        <f t="shared" si="28"/>
        <v>238000</v>
      </c>
      <c r="M57" s="8">
        <f t="shared" si="28"/>
        <v>238000</v>
      </c>
      <c r="N57" s="8">
        <f t="shared" si="28"/>
        <v>238000</v>
      </c>
      <c r="O57" s="8">
        <f t="shared" si="28"/>
        <v>238000</v>
      </c>
      <c r="P57" s="8">
        <f t="shared" si="28"/>
        <v>238000</v>
      </c>
      <c r="Q57" s="8">
        <f t="shared" si="28"/>
        <v>238000</v>
      </c>
      <c r="R57" s="8">
        <f t="shared" si="28"/>
        <v>0</v>
      </c>
      <c r="S57" s="8">
        <f t="shared" si="28"/>
        <v>0</v>
      </c>
    </row>
    <row r="58" spans="1:32" ht="13.5" x14ac:dyDescent="0.25">
      <c r="A58" s="2" t="s">
        <v>24</v>
      </c>
      <c r="B58" s="3"/>
      <c r="C58" s="16"/>
      <c r="D58" s="16">
        <v>0</v>
      </c>
      <c r="E58" s="6"/>
      <c r="F58" s="8"/>
      <c r="G58" s="8"/>
      <c r="H58" s="8">
        <f>$D58*H55</f>
        <v>0</v>
      </c>
      <c r="I58" s="8">
        <f t="shared" ref="I58:R58" si="29">$D58*I55</f>
        <v>0</v>
      </c>
      <c r="J58" s="8">
        <f t="shared" si="29"/>
        <v>0</v>
      </c>
      <c r="K58" s="8">
        <f t="shared" si="29"/>
        <v>0</v>
      </c>
      <c r="L58" s="8">
        <f t="shared" si="29"/>
        <v>0</v>
      </c>
      <c r="M58" s="8">
        <f t="shared" si="29"/>
        <v>0</v>
      </c>
      <c r="N58" s="8">
        <f t="shared" si="29"/>
        <v>0</v>
      </c>
      <c r="O58" s="8">
        <f t="shared" si="29"/>
        <v>0</v>
      </c>
      <c r="P58" s="8">
        <f t="shared" si="29"/>
        <v>0</v>
      </c>
      <c r="Q58" s="8">
        <f t="shared" si="29"/>
        <v>0</v>
      </c>
      <c r="R58" s="8">
        <f t="shared" si="29"/>
        <v>0</v>
      </c>
      <c r="S58" s="8"/>
    </row>
    <row r="59" spans="1:32" ht="13.5" x14ac:dyDescent="0.25">
      <c r="A59" s="2" t="s">
        <v>56</v>
      </c>
      <c r="B59" s="3"/>
      <c r="C59" s="16"/>
      <c r="D59" s="16"/>
      <c r="E59" s="16">
        <f>C56*E$50</f>
        <v>0.68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>
        <f>R55*E59</f>
        <v>190400</v>
      </c>
    </row>
    <row r="60" spans="1:32" s="29" customFormat="1" ht="13.5" x14ac:dyDescent="0.2">
      <c r="A60" s="38" t="s">
        <v>33</v>
      </c>
      <c r="B60" s="39"/>
      <c r="C60" s="39"/>
      <c r="D60" s="39"/>
      <c r="E60" s="40"/>
      <c r="F60" s="40">
        <f t="shared" ref="F60:L60" si="30">SUM(F56:F59)</f>
        <v>0</v>
      </c>
      <c r="G60" s="40">
        <f t="shared" si="30"/>
        <v>0</v>
      </c>
      <c r="H60" s="40">
        <f t="shared" si="30"/>
        <v>3570000</v>
      </c>
      <c r="I60" s="40">
        <f t="shared" si="30"/>
        <v>238000</v>
      </c>
      <c r="J60" s="40">
        <f t="shared" si="30"/>
        <v>238000</v>
      </c>
      <c r="K60" s="40">
        <f t="shared" si="30"/>
        <v>238000</v>
      </c>
      <c r="L60" s="40">
        <f t="shared" si="30"/>
        <v>238000</v>
      </c>
      <c r="M60" s="40">
        <f>SUM(M56:M59)</f>
        <v>238000</v>
      </c>
      <c r="N60" s="40">
        <f t="shared" ref="N60:S60" si="31">SUM(N56:N59)</f>
        <v>238000</v>
      </c>
      <c r="O60" s="40">
        <f t="shared" si="31"/>
        <v>238000</v>
      </c>
      <c r="P60" s="40">
        <f t="shared" si="31"/>
        <v>238000</v>
      </c>
      <c r="Q60" s="40">
        <f t="shared" si="31"/>
        <v>238000</v>
      </c>
      <c r="R60" s="40">
        <f t="shared" si="31"/>
        <v>0</v>
      </c>
      <c r="S60" s="40">
        <f t="shared" si="31"/>
        <v>190400</v>
      </c>
    </row>
    <row r="63" spans="1:32" ht="36" x14ac:dyDescent="0.2">
      <c r="A63" s="62" t="s">
        <v>102</v>
      </c>
      <c r="B63" s="30">
        <v>3.2000000000000001E-2</v>
      </c>
      <c r="E63" s="30">
        <v>0.02</v>
      </c>
      <c r="F63" s="65" t="s">
        <v>107</v>
      </c>
      <c r="G63" s="65"/>
      <c r="H63" s="65"/>
      <c r="I63" s="65"/>
    </row>
    <row r="64" spans="1:32" ht="27" x14ac:dyDescent="0.2">
      <c r="A64" s="1" t="s">
        <v>25</v>
      </c>
      <c r="B64" s="1" t="s">
        <v>69</v>
      </c>
      <c r="C64" s="1" t="s">
        <v>22</v>
      </c>
      <c r="D64" s="1" t="s">
        <v>23</v>
      </c>
      <c r="E64" s="1" t="s">
        <v>53</v>
      </c>
      <c r="F64" s="1">
        <v>2020</v>
      </c>
      <c r="G64" s="1">
        <v>2021</v>
      </c>
      <c r="H64" s="1">
        <v>2022</v>
      </c>
      <c r="I64" s="1">
        <v>2023</v>
      </c>
      <c r="J64" s="1">
        <v>2024</v>
      </c>
      <c r="K64" s="1">
        <v>2025</v>
      </c>
      <c r="L64" s="1">
        <v>2026</v>
      </c>
      <c r="M64" s="1">
        <v>2027</v>
      </c>
      <c r="N64" s="1">
        <v>2028</v>
      </c>
      <c r="O64" s="1">
        <v>2029</v>
      </c>
      <c r="P64" s="1">
        <v>2030</v>
      </c>
      <c r="Q64" s="1">
        <v>2031</v>
      </c>
      <c r="R64" s="1">
        <v>2032</v>
      </c>
      <c r="S64" s="1">
        <v>2033</v>
      </c>
    </row>
    <row r="65" spans="1:19" ht="13.5" x14ac:dyDescent="0.25">
      <c r="A65" s="17" t="s">
        <v>20</v>
      </c>
      <c r="B65" s="18"/>
      <c r="C65" s="19"/>
      <c r="D65" s="19"/>
      <c r="E65" s="20"/>
      <c r="F65" s="21"/>
      <c r="G65" s="21"/>
      <c r="H65" s="21">
        <v>6</v>
      </c>
      <c r="I65" s="21">
        <v>12</v>
      </c>
      <c r="J65" s="21">
        <v>12</v>
      </c>
      <c r="K65" s="21">
        <v>12</v>
      </c>
      <c r="L65" s="21">
        <v>12</v>
      </c>
      <c r="M65" s="21">
        <v>12</v>
      </c>
      <c r="N65" s="21">
        <v>12</v>
      </c>
      <c r="O65" s="21">
        <v>12</v>
      </c>
      <c r="P65" s="21">
        <v>12</v>
      </c>
      <c r="Q65" s="21">
        <v>12</v>
      </c>
      <c r="R65" s="21">
        <v>12</v>
      </c>
      <c r="S65" s="21">
        <v>1</v>
      </c>
    </row>
    <row r="66" spans="1:19" ht="13.5" x14ac:dyDescent="0.25">
      <c r="A66" s="2" t="s">
        <v>26</v>
      </c>
      <c r="B66" s="3"/>
      <c r="C66" s="16">
        <v>850000</v>
      </c>
      <c r="D66" s="16"/>
      <c r="E66" s="20"/>
      <c r="F66" s="8"/>
      <c r="G66" s="8"/>
      <c r="H66" s="8">
        <f>C66</f>
        <v>850000</v>
      </c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9" ht="13.5" x14ac:dyDescent="0.25">
      <c r="A67" s="2" t="s">
        <v>68</v>
      </c>
      <c r="B67" s="6">
        <v>125</v>
      </c>
      <c r="C67" s="16">
        <v>7200</v>
      </c>
      <c r="D67" s="16"/>
      <c r="E67" s="20"/>
      <c r="F67" s="8"/>
      <c r="G67" s="8"/>
      <c r="H67" s="8">
        <f>B67*C67</f>
        <v>900000</v>
      </c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9" ht="13.5" x14ac:dyDescent="0.25">
      <c r="A68" s="2" t="s">
        <v>50</v>
      </c>
      <c r="B68" s="3"/>
      <c r="C68" s="16"/>
      <c r="D68" s="16">
        <f>2*1500+2400</f>
        <v>5400</v>
      </c>
      <c r="E68" s="6"/>
      <c r="F68" s="8"/>
      <c r="G68" s="8"/>
      <c r="H68" s="8">
        <f>$D68*H$65</f>
        <v>32400</v>
      </c>
      <c r="I68" s="8">
        <f t="shared" ref="I68:S68" si="32">$D68*I$65</f>
        <v>64800</v>
      </c>
      <c r="J68" s="8">
        <f t="shared" si="32"/>
        <v>64800</v>
      </c>
      <c r="K68" s="8">
        <f t="shared" si="32"/>
        <v>64800</v>
      </c>
      <c r="L68" s="8">
        <f t="shared" si="32"/>
        <v>64800</v>
      </c>
      <c r="M68" s="8">
        <f t="shared" si="32"/>
        <v>64800</v>
      </c>
      <c r="N68" s="8">
        <f t="shared" si="32"/>
        <v>64800</v>
      </c>
      <c r="O68" s="8">
        <f t="shared" si="32"/>
        <v>64800</v>
      </c>
      <c r="P68" s="8">
        <f t="shared" si="32"/>
        <v>64800</v>
      </c>
      <c r="Q68" s="8">
        <f t="shared" si="32"/>
        <v>64800</v>
      </c>
      <c r="R68" s="8">
        <f t="shared" si="32"/>
        <v>64800</v>
      </c>
      <c r="S68" s="8">
        <f t="shared" si="32"/>
        <v>5400</v>
      </c>
    </row>
    <row r="69" spans="1:19" ht="13.5" x14ac:dyDescent="0.25">
      <c r="A69" s="2" t="s">
        <v>49</v>
      </c>
      <c r="B69" s="3"/>
      <c r="C69" s="16"/>
      <c r="D69" s="16">
        <f>SUM('[2]Palubné jednotky (alt.2)'!$G$6:$G$21)</f>
        <v>42878</v>
      </c>
      <c r="E69" s="6"/>
      <c r="F69" s="8"/>
      <c r="G69" s="8"/>
      <c r="H69" s="8">
        <f t="shared" ref="H69:S70" si="33">$D69*H$65</f>
        <v>257268</v>
      </c>
      <c r="I69" s="8">
        <f t="shared" si="33"/>
        <v>514536</v>
      </c>
      <c r="J69" s="8">
        <f t="shared" si="33"/>
        <v>514536</v>
      </c>
      <c r="K69" s="8">
        <f t="shared" si="33"/>
        <v>514536</v>
      </c>
      <c r="L69" s="8">
        <f t="shared" si="33"/>
        <v>514536</v>
      </c>
      <c r="M69" s="8">
        <f t="shared" si="33"/>
        <v>514536</v>
      </c>
      <c r="N69" s="8">
        <f t="shared" si="33"/>
        <v>514536</v>
      </c>
      <c r="O69" s="8">
        <f t="shared" si="33"/>
        <v>514536</v>
      </c>
      <c r="P69" s="8">
        <f t="shared" si="33"/>
        <v>514536</v>
      </c>
      <c r="Q69" s="8">
        <f t="shared" si="33"/>
        <v>514536</v>
      </c>
      <c r="R69" s="8">
        <f t="shared" si="33"/>
        <v>514536</v>
      </c>
      <c r="S69" s="8">
        <f t="shared" si="33"/>
        <v>42878</v>
      </c>
    </row>
    <row r="70" spans="1:19" ht="13.5" x14ac:dyDescent="0.25">
      <c r="A70" s="2" t="s">
        <v>41</v>
      </c>
      <c r="B70" s="3"/>
      <c r="C70" s="16"/>
      <c r="D70" s="16">
        <v>1540</v>
      </c>
      <c r="E70" s="6"/>
      <c r="F70" s="8"/>
      <c r="G70" s="8"/>
      <c r="H70" s="8">
        <f t="shared" si="33"/>
        <v>9240</v>
      </c>
      <c r="I70" s="8">
        <f t="shared" si="33"/>
        <v>18480</v>
      </c>
      <c r="J70" s="8">
        <f t="shared" si="33"/>
        <v>18480</v>
      </c>
      <c r="K70" s="8">
        <f t="shared" si="33"/>
        <v>18480</v>
      </c>
      <c r="L70" s="8">
        <f t="shared" si="33"/>
        <v>18480</v>
      </c>
      <c r="M70" s="8">
        <f t="shared" si="33"/>
        <v>18480</v>
      </c>
      <c r="N70" s="8">
        <f t="shared" si="33"/>
        <v>18480</v>
      </c>
      <c r="O70" s="8">
        <f t="shared" si="33"/>
        <v>18480</v>
      </c>
      <c r="P70" s="8">
        <f t="shared" si="33"/>
        <v>18480</v>
      </c>
      <c r="Q70" s="8">
        <f t="shared" si="33"/>
        <v>18480</v>
      </c>
      <c r="R70" s="8">
        <f t="shared" si="33"/>
        <v>18480</v>
      </c>
      <c r="S70" s="8">
        <f t="shared" si="33"/>
        <v>1540</v>
      </c>
    </row>
    <row r="71" spans="1:19" ht="13.5" x14ac:dyDescent="0.25">
      <c r="A71" s="2" t="s">
        <v>63</v>
      </c>
      <c r="B71" s="3"/>
      <c r="C71" s="16"/>
      <c r="D71" s="16"/>
      <c r="E71" s="16">
        <f>(C66+B67*C67)*E63</f>
        <v>35000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>
        <f>E71</f>
        <v>35000</v>
      </c>
    </row>
    <row r="72" spans="1:19" s="29" customFormat="1" ht="13.5" x14ac:dyDescent="0.2">
      <c r="A72" s="38" t="s">
        <v>33</v>
      </c>
      <c r="B72" s="39"/>
      <c r="C72" s="39"/>
      <c r="D72" s="39"/>
      <c r="E72" s="40"/>
      <c r="F72" s="40">
        <f t="shared" ref="F72:G72" si="34">SUM(F66:F71)</f>
        <v>0</v>
      </c>
      <c r="G72" s="40">
        <f t="shared" si="34"/>
        <v>0</v>
      </c>
      <c r="H72" s="40">
        <f>SUM(H66:H71)</f>
        <v>2048908</v>
      </c>
      <c r="I72" s="40">
        <f t="shared" ref="I72:R72" si="35">SUM(I66:I71)</f>
        <v>597816</v>
      </c>
      <c r="J72" s="40">
        <f t="shared" si="35"/>
        <v>597816</v>
      </c>
      <c r="K72" s="40">
        <f t="shared" si="35"/>
        <v>597816</v>
      </c>
      <c r="L72" s="40">
        <f t="shared" si="35"/>
        <v>597816</v>
      </c>
      <c r="M72" s="40">
        <f t="shared" si="35"/>
        <v>597816</v>
      </c>
      <c r="N72" s="40">
        <f t="shared" si="35"/>
        <v>597816</v>
      </c>
      <c r="O72" s="40">
        <f t="shared" si="35"/>
        <v>597816</v>
      </c>
      <c r="P72" s="40">
        <f t="shared" si="35"/>
        <v>597816</v>
      </c>
      <c r="Q72" s="40">
        <f t="shared" si="35"/>
        <v>597816</v>
      </c>
      <c r="R72" s="40">
        <f t="shared" si="35"/>
        <v>597816</v>
      </c>
      <c r="S72" s="40">
        <f>SUM(S68:S71)</f>
        <v>84818</v>
      </c>
    </row>
    <row r="75" spans="1:19" ht="24" x14ac:dyDescent="0.2">
      <c r="A75" s="62" t="s">
        <v>108</v>
      </c>
    </row>
    <row r="76" spans="1:19" ht="13.5" x14ac:dyDescent="0.2">
      <c r="A76" s="1" t="s">
        <v>34</v>
      </c>
      <c r="B76" s="1"/>
      <c r="C76" s="1"/>
      <c r="D76" s="1"/>
      <c r="E76" s="1"/>
      <c r="F76" s="1">
        <v>2020</v>
      </c>
      <c r="G76" s="1">
        <v>2021</v>
      </c>
      <c r="H76" s="1">
        <v>2022</v>
      </c>
      <c r="I76" s="1">
        <v>2023</v>
      </c>
      <c r="J76" s="1">
        <v>2024</v>
      </c>
      <c r="K76" s="1">
        <v>2025</v>
      </c>
      <c r="L76" s="1">
        <v>2026</v>
      </c>
      <c r="M76" s="1">
        <v>2027</v>
      </c>
      <c r="N76" s="1">
        <v>2028</v>
      </c>
      <c r="O76" s="1">
        <v>2029</v>
      </c>
      <c r="P76" s="1">
        <v>2030</v>
      </c>
      <c r="Q76" s="1">
        <v>2031</v>
      </c>
      <c r="R76" s="1">
        <v>2032</v>
      </c>
      <c r="S76" s="1">
        <v>2033</v>
      </c>
    </row>
    <row r="77" spans="1:19" ht="13.5" x14ac:dyDescent="0.25">
      <c r="A77" s="24" t="s">
        <v>27</v>
      </c>
      <c r="B77" s="3"/>
      <c r="C77" s="16"/>
      <c r="D77" s="1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ht="13.5" x14ac:dyDescent="0.25">
      <c r="A78" s="2" t="s">
        <v>28</v>
      </c>
      <c r="B78" s="3"/>
      <c r="C78" s="16"/>
      <c r="D78" s="16"/>
      <c r="E78" s="6"/>
      <c r="F78" s="8"/>
      <c r="G78" s="8"/>
      <c r="H78" s="8">
        <f t="shared" ref="H78:R78" si="36">H37</f>
        <v>37895040</v>
      </c>
      <c r="I78" s="8">
        <f t="shared" si="36"/>
        <v>928064</v>
      </c>
      <c r="J78" s="8">
        <f t="shared" si="36"/>
        <v>183872</v>
      </c>
      <c r="K78" s="8">
        <f t="shared" si="36"/>
        <v>604928</v>
      </c>
      <c r="L78" s="8">
        <f t="shared" si="36"/>
        <v>957440</v>
      </c>
      <c r="M78" s="8">
        <f t="shared" si="36"/>
        <v>925888</v>
      </c>
      <c r="N78" s="8">
        <f t="shared" si="36"/>
        <v>769216</v>
      </c>
      <c r="O78" s="8">
        <f t="shared" si="36"/>
        <v>2774400</v>
      </c>
      <c r="P78" s="8">
        <f t="shared" si="36"/>
        <v>1078208</v>
      </c>
      <c r="Q78" s="8">
        <f t="shared" si="36"/>
        <v>1968192</v>
      </c>
      <c r="R78" s="8">
        <f t="shared" si="36"/>
        <v>350336</v>
      </c>
    </row>
    <row r="79" spans="1:19" ht="13.5" x14ac:dyDescent="0.25">
      <c r="A79" s="2" t="s">
        <v>21</v>
      </c>
      <c r="B79" s="3"/>
      <c r="C79" s="16"/>
      <c r="D79" s="16"/>
      <c r="E79" s="6"/>
      <c r="F79" s="8"/>
      <c r="G79" s="8"/>
      <c r="H79" s="8">
        <f>H56</f>
        <v>3570000</v>
      </c>
      <c r="I79" s="8">
        <f t="shared" ref="I79:S79" si="37">I56</f>
        <v>0</v>
      </c>
      <c r="J79" s="8">
        <f t="shared" si="37"/>
        <v>0</v>
      </c>
      <c r="K79" s="8">
        <f t="shared" si="37"/>
        <v>0</v>
      </c>
      <c r="L79" s="8">
        <f t="shared" si="37"/>
        <v>0</v>
      </c>
      <c r="M79" s="8">
        <f t="shared" si="37"/>
        <v>0</v>
      </c>
      <c r="N79" s="8">
        <f t="shared" si="37"/>
        <v>0</v>
      </c>
      <c r="O79" s="8">
        <f t="shared" si="37"/>
        <v>0</v>
      </c>
      <c r="P79" s="8">
        <f t="shared" si="37"/>
        <v>0</v>
      </c>
      <c r="Q79" s="8">
        <f t="shared" si="37"/>
        <v>0</v>
      </c>
      <c r="R79" s="8">
        <f t="shared" si="37"/>
        <v>0</v>
      </c>
      <c r="S79" s="8">
        <f t="shared" si="37"/>
        <v>0</v>
      </c>
    </row>
    <row r="80" spans="1:19" ht="13.5" x14ac:dyDescent="0.25">
      <c r="A80" s="2" t="s">
        <v>29</v>
      </c>
      <c r="B80" s="3"/>
      <c r="C80" s="16"/>
      <c r="D80" s="16"/>
      <c r="E80" s="6"/>
      <c r="F80" s="8"/>
      <c r="G80" s="8"/>
      <c r="H80" s="8">
        <f>SUM(H66:H67)</f>
        <v>1750000</v>
      </c>
      <c r="I80" s="8">
        <f t="shared" ref="I80:S80" si="38">SUM(I66:I67)</f>
        <v>0</v>
      </c>
      <c r="J80" s="8">
        <f t="shared" si="38"/>
        <v>0</v>
      </c>
      <c r="K80" s="8">
        <f t="shared" si="38"/>
        <v>0</v>
      </c>
      <c r="L80" s="8">
        <f t="shared" si="38"/>
        <v>0</v>
      </c>
      <c r="M80" s="8">
        <f t="shared" si="38"/>
        <v>0</v>
      </c>
      <c r="N80" s="8">
        <f t="shared" si="38"/>
        <v>0</v>
      </c>
      <c r="O80" s="8">
        <f t="shared" si="38"/>
        <v>0</v>
      </c>
      <c r="P80" s="8">
        <f t="shared" si="38"/>
        <v>0</v>
      </c>
      <c r="Q80" s="8">
        <f t="shared" si="38"/>
        <v>0</v>
      </c>
      <c r="R80" s="8">
        <f t="shared" si="38"/>
        <v>0</v>
      </c>
      <c r="S80" s="8">
        <f t="shared" si="38"/>
        <v>0</v>
      </c>
    </row>
    <row r="81" spans="1:19" s="29" customFormat="1" ht="13.5" x14ac:dyDescent="0.25">
      <c r="A81" s="23" t="s">
        <v>30</v>
      </c>
      <c r="B81" s="25"/>
      <c r="C81" s="26"/>
      <c r="D81" s="26"/>
      <c r="E81" s="27"/>
      <c r="F81" s="28"/>
      <c r="G81" s="28"/>
      <c r="H81" s="28">
        <f>SUM(H78:H80)</f>
        <v>43215040</v>
      </c>
      <c r="I81" s="28">
        <f t="shared" ref="I81:S81" si="39">SUM(I78:I80)</f>
        <v>928064</v>
      </c>
      <c r="J81" s="28">
        <f t="shared" si="39"/>
        <v>183872</v>
      </c>
      <c r="K81" s="28">
        <f t="shared" si="39"/>
        <v>604928</v>
      </c>
      <c r="L81" s="28">
        <f t="shared" si="39"/>
        <v>957440</v>
      </c>
      <c r="M81" s="28">
        <f t="shared" si="39"/>
        <v>925888</v>
      </c>
      <c r="N81" s="28">
        <f t="shared" si="39"/>
        <v>769216</v>
      </c>
      <c r="O81" s="28">
        <f t="shared" si="39"/>
        <v>2774400</v>
      </c>
      <c r="P81" s="28">
        <f t="shared" si="39"/>
        <v>1078208</v>
      </c>
      <c r="Q81" s="28">
        <f t="shared" si="39"/>
        <v>1968192</v>
      </c>
      <c r="R81" s="28">
        <f t="shared" si="39"/>
        <v>350336</v>
      </c>
      <c r="S81" s="28">
        <f t="shared" si="39"/>
        <v>0</v>
      </c>
    </row>
    <row r="82" spans="1:19" ht="13.5" x14ac:dyDescent="0.25">
      <c r="A82" s="2"/>
      <c r="B82" s="3"/>
      <c r="C82" s="16"/>
      <c r="D82" s="16"/>
      <c r="E82" s="6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</row>
    <row r="83" spans="1:19" ht="13.5" x14ac:dyDescent="0.25">
      <c r="A83" s="24" t="s">
        <v>31</v>
      </c>
      <c r="B83" s="3"/>
      <c r="C83" s="16"/>
      <c r="D83" s="1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ht="13.5" x14ac:dyDescent="0.25">
      <c r="A84" s="2" t="s">
        <v>28</v>
      </c>
      <c r="B84" s="3"/>
      <c r="C84" s="16"/>
      <c r="D84" s="16"/>
      <c r="E84" s="6"/>
      <c r="F84" s="8"/>
      <c r="G84" s="8"/>
      <c r="H84" s="8">
        <f t="shared" ref="H84:R84" si="40">H47</f>
        <v>5532720</v>
      </c>
      <c r="I84" s="8">
        <f t="shared" si="40"/>
        <v>22335960</v>
      </c>
      <c r="J84" s="8">
        <f t="shared" si="40"/>
        <v>22382100</v>
      </c>
      <c r="K84" s="8">
        <f t="shared" si="40"/>
        <v>22546140</v>
      </c>
      <c r="L84" s="8">
        <f t="shared" si="40"/>
        <v>23017740</v>
      </c>
      <c r="M84" s="8">
        <f t="shared" si="40"/>
        <v>23194620</v>
      </c>
      <c r="N84" s="8">
        <f t="shared" si="40"/>
        <v>23433000</v>
      </c>
      <c r="O84" s="8">
        <f t="shared" si="40"/>
        <v>24148140</v>
      </c>
      <c r="P84" s="8">
        <f t="shared" si="40"/>
        <v>24478800</v>
      </c>
      <c r="Q84" s="8">
        <f t="shared" si="40"/>
        <v>24822300</v>
      </c>
      <c r="R84" s="8">
        <f t="shared" si="40"/>
        <v>24924840</v>
      </c>
      <c r="S84" s="8">
        <f>S37</f>
        <v>3606937.6000000001</v>
      </c>
    </row>
    <row r="85" spans="1:19" ht="13.5" x14ac:dyDescent="0.25">
      <c r="A85" s="2" t="s">
        <v>21</v>
      </c>
      <c r="B85" s="3"/>
      <c r="C85" s="16"/>
      <c r="D85" s="16"/>
      <c r="E85" s="6"/>
      <c r="F85" s="8"/>
      <c r="G85" s="8"/>
      <c r="H85" s="8">
        <f>SUM(H57:H59)</f>
        <v>0</v>
      </c>
      <c r="I85" s="8">
        <f t="shared" ref="I85:S85" si="41">SUM(I57:I59)</f>
        <v>238000</v>
      </c>
      <c r="J85" s="8">
        <f t="shared" si="41"/>
        <v>238000</v>
      </c>
      <c r="K85" s="8">
        <f t="shared" si="41"/>
        <v>238000</v>
      </c>
      <c r="L85" s="8">
        <f t="shared" si="41"/>
        <v>238000</v>
      </c>
      <c r="M85" s="8">
        <f t="shared" si="41"/>
        <v>238000</v>
      </c>
      <c r="N85" s="8">
        <f t="shared" si="41"/>
        <v>238000</v>
      </c>
      <c r="O85" s="8">
        <f t="shared" si="41"/>
        <v>238000</v>
      </c>
      <c r="P85" s="8">
        <f t="shared" si="41"/>
        <v>238000</v>
      </c>
      <c r="Q85" s="8">
        <f t="shared" si="41"/>
        <v>238000</v>
      </c>
      <c r="R85" s="8">
        <f t="shared" si="41"/>
        <v>0</v>
      </c>
      <c r="S85" s="8">
        <f t="shared" si="41"/>
        <v>190400</v>
      </c>
    </row>
    <row r="86" spans="1:19" ht="13.5" x14ac:dyDescent="0.25">
      <c r="A86" s="2" t="s">
        <v>29</v>
      </c>
      <c r="B86" s="3"/>
      <c r="C86" s="16"/>
      <c r="D86" s="16"/>
      <c r="E86" s="6"/>
      <c r="F86" s="8"/>
      <c r="G86" s="8"/>
      <c r="H86" s="8">
        <f>SUM(H68:H71)</f>
        <v>298908</v>
      </c>
      <c r="I86" s="8">
        <f t="shared" ref="I86:S86" si="42">SUM(I68:I71)</f>
        <v>597816</v>
      </c>
      <c r="J86" s="8">
        <f t="shared" si="42"/>
        <v>597816</v>
      </c>
      <c r="K86" s="8">
        <f t="shared" si="42"/>
        <v>597816</v>
      </c>
      <c r="L86" s="8">
        <f t="shared" si="42"/>
        <v>597816</v>
      </c>
      <c r="M86" s="8">
        <f t="shared" si="42"/>
        <v>597816</v>
      </c>
      <c r="N86" s="8">
        <f t="shared" si="42"/>
        <v>597816</v>
      </c>
      <c r="O86" s="8">
        <f t="shared" si="42"/>
        <v>597816</v>
      </c>
      <c r="P86" s="8">
        <f t="shared" si="42"/>
        <v>597816</v>
      </c>
      <c r="Q86" s="8">
        <f t="shared" si="42"/>
        <v>597816</v>
      </c>
      <c r="R86" s="8">
        <f t="shared" si="42"/>
        <v>597816</v>
      </c>
      <c r="S86" s="8">
        <f t="shared" si="42"/>
        <v>84818</v>
      </c>
    </row>
    <row r="87" spans="1:19" ht="13.5" x14ac:dyDescent="0.25">
      <c r="A87" s="23" t="s">
        <v>32</v>
      </c>
      <c r="B87" s="3"/>
      <c r="C87" s="16"/>
      <c r="D87" s="16"/>
      <c r="E87" s="6"/>
      <c r="F87" s="8"/>
      <c r="G87" s="8"/>
      <c r="H87" s="28">
        <f>SUM(H84:H86)</f>
        <v>5831628</v>
      </c>
      <c r="I87" s="28">
        <f t="shared" ref="I87:R87" si="43">SUM(I84:I86)</f>
        <v>23171776</v>
      </c>
      <c r="J87" s="28">
        <f t="shared" si="43"/>
        <v>23217916</v>
      </c>
      <c r="K87" s="28">
        <f t="shared" si="43"/>
        <v>23381956</v>
      </c>
      <c r="L87" s="28">
        <f t="shared" si="43"/>
        <v>23853556</v>
      </c>
      <c r="M87" s="28">
        <f t="shared" si="43"/>
        <v>24030436</v>
      </c>
      <c r="N87" s="28">
        <f t="shared" si="43"/>
        <v>24268816</v>
      </c>
      <c r="O87" s="28">
        <f t="shared" si="43"/>
        <v>24983956</v>
      </c>
      <c r="P87" s="28">
        <f t="shared" si="43"/>
        <v>25314616</v>
      </c>
      <c r="Q87" s="28">
        <f t="shared" si="43"/>
        <v>25658116</v>
      </c>
      <c r="R87" s="28">
        <f t="shared" si="43"/>
        <v>25522656</v>
      </c>
      <c r="S87" s="28">
        <f>SUM(S84:S86)</f>
        <v>3882155.6</v>
      </c>
    </row>
    <row r="88" spans="1:19" s="29" customFormat="1" ht="13.5" x14ac:dyDescent="0.2">
      <c r="A88" s="38" t="s">
        <v>83</v>
      </c>
      <c r="B88" s="39"/>
      <c r="C88" s="39"/>
      <c r="D88" s="39"/>
      <c r="E88" s="40"/>
      <c r="F88" s="40">
        <f t="shared" ref="F88:G88" si="44">SUM(F81,F87)</f>
        <v>0</v>
      </c>
      <c r="G88" s="40">
        <f t="shared" si="44"/>
        <v>0</v>
      </c>
      <c r="H88" s="40">
        <f>SUM(H81,H87)</f>
        <v>49046668</v>
      </c>
      <c r="I88" s="40">
        <f t="shared" ref="I88:S88" si="45">SUM(I81,I87)</f>
        <v>24099840</v>
      </c>
      <c r="J88" s="40">
        <f t="shared" si="45"/>
        <v>23401788</v>
      </c>
      <c r="K88" s="40">
        <f t="shared" si="45"/>
        <v>23986884</v>
      </c>
      <c r="L88" s="40">
        <f t="shared" si="45"/>
        <v>24810996</v>
      </c>
      <c r="M88" s="40">
        <f t="shared" si="45"/>
        <v>24956324</v>
      </c>
      <c r="N88" s="40">
        <f t="shared" si="45"/>
        <v>25038032</v>
      </c>
      <c r="O88" s="40">
        <f t="shared" si="45"/>
        <v>27758356</v>
      </c>
      <c r="P88" s="40">
        <f t="shared" si="45"/>
        <v>26392824</v>
      </c>
      <c r="Q88" s="40">
        <f t="shared" si="45"/>
        <v>27626308</v>
      </c>
      <c r="R88" s="40">
        <f t="shared" si="45"/>
        <v>25872992</v>
      </c>
      <c r="S88" s="40">
        <f t="shared" si="45"/>
        <v>3882155.6</v>
      </c>
    </row>
    <row r="89" spans="1:19" ht="13.5" x14ac:dyDescent="0.25">
      <c r="A89" s="2" t="s">
        <v>82</v>
      </c>
      <c r="B89" s="3"/>
      <c r="C89" s="16"/>
      <c r="D89" s="16"/>
      <c r="E89" s="63">
        <v>0.04</v>
      </c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</row>
    <row r="90" spans="1:19" s="29" customFormat="1" ht="13.5" x14ac:dyDescent="0.2">
      <c r="A90" s="38" t="s">
        <v>84</v>
      </c>
      <c r="B90" s="39"/>
      <c r="C90" s="39"/>
      <c r="D90" s="39"/>
      <c r="E90" s="40"/>
      <c r="F90" s="40">
        <f>F88/((1+$E$89)^(F76-$F$76))</f>
        <v>0</v>
      </c>
      <c r="G90" s="40">
        <f t="shared" ref="G90:S90" si="46">G88/((1+$E$89)^(G76-$F$76))</f>
        <v>0</v>
      </c>
      <c r="H90" s="40">
        <f t="shared" si="46"/>
        <v>45346401.627218932</v>
      </c>
      <c r="I90" s="40">
        <f t="shared" si="46"/>
        <v>21424670.00455166</v>
      </c>
      <c r="J90" s="40">
        <f t="shared" si="46"/>
        <v>20003946.459989142</v>
      </c>
      <c r="K90" s="40">
        <f t="shared" si="46"/>
        <v>19715470.166292183</v>
      </c>
      <c r="L90" s="40">
        <f t="shared" si="46"/>
        <v>19608490.536632542</v>
      </c>
      <c r="M90" s="40">
        <f t="shared" si="46"/>
        <v>18964755.159642167</v>
      </c>
      <c r="N90" s="40">
        <f t="shared" si="46"/>
        <v>18295044.734926231</v>
      </c>
      <c r="O90" s="40">
        <f t="shared" si="46"/>
        <v>19502652.727075044</v>
      </c>
      <c r="P90" s="40">
        <f t="shared" si="46"/>
        <v>17830046.208525587</v>
      </c>
      <c r="Q90" s="40">
        <f t="shared" si="46"/>
        <v>17945522.886293761</v>
      </c>
      <c r="R90" s="40">
        <f t="shared" si="46"/>
        <v>16160194.467008628</v>
      </c>
      <c r="S90" s="40">
        <f t="shared" si="46"/>
        <v>2331522.0517026228</v>
      </c>
    </row>
    <row r="91" spans="1:19" x14ac:dyDescent="0.2">
      <c r="A91" s="32" t="s">
        <v>51</v>
      </c>
    </row>
    <row r="93" spans="1:19" ht="13.5" x14ac:dyDescent="0.25">
      <c r="A93" s="2" t="s">
        <v>86</v>
      </c>
      <c r="B93" s="3"/>
      <c r="C93" s="16"/>
      <c r="D93" s="16"/>
      <c r="E93" s="6"/>
      <c r="F93" s="8">
        <f t="shared" ref="F93:G93" si="47">F81/((1+$E$89)^(F$76-$F$76))</f>
        <v>0</v>
      </c>
      <c r="G93" s="8">
        <f t="shared" si="47"/>
        <v>0</v>
      </c>
      <c r="H93" s="8">
        <f>H81/((1+$E$89)^(H$76-$F$76))</f>
        <v>39954733.727810644</v>
      </c>
      <c r="I93" s="8">
        <f t="shared" ref="I93:S93" si="48">I81/((1+$E$89)^(I$76-$F$76))</f>
        <v>825045.51661356387</v>
      </c>
      <c r="J93" s="8">
        <f t="shared" si="48"/>
        <v>157174.55621301773</v>
      </c>
      <c r="K93" s="8">
        <f t="shared" si="48"/>
        <v>497206.72083772102</v>
      </c>
      <c r="L93" s="8">
        <f t="shared" si="48"/>
        <v>756678.73951507069</v>
      </c>
      <c r="M93" s="8">
        <f t="shared" si="48"/>
        <v>703598.78423003189</v>
      </c>
      <c r="N93" s="8">
        <f t="shared" si="48"/>
        <v>562058.59673080593</v>
      </c>
      <c r="O93" s="8">
        <f t="shared" si="48"/>
        <v>1949256.6391899073</v>
      </c>
      <c r="P93" s="8">
        <f t="shared" si="48"/>
        <v>728398.69134132657</v>
      </c>
      <c r="Q93" s="8">
        <f t="shared" si="48"/>
        <v>1278499.9928553714</v>
      </c>
      <c r="R93" s="8">
        <f t="shared" si="48"/>
        <v>218818.83196168169</v>
      </c>
      <c r="S93" s="8">
        <f t="shared" si="48"/>
        <v>0</v>
      </c>
    </row>
    <row r="94" spans="1:19" ht="13.5" x14ac:dyDescent="0.25">
      <c r="A94" s="2" t="s">
        <v>87</v>
      </c>
      <c r="B94" s="3"/>
      <c r="C94" s="16"/>
      <c r="D94" s="16"/>
      <c r="E94" s="6"/>
      <c r="F94" s="8">
        <f t="shared" ref="F94:G94" si="49">F87/((1+$E$89)^(F$76-$F$76))</f>
        <v>0</v>
      </c>
      <c r="G94" s="8">
        <f t="shared" si="49"/>
        <v>0</v>
      </c>
      <c r="H94" s="8">
        <f>H87/((1+$E$89)^(H$76-$F$76))</f>
        <v>5391667.8994082836</v>
      </c>
      <c r="I94" s="8">
        <f t="shared" ref="I94:S94" si="50">I87/((1+$E$89)^(I$76-$F$76))</f>
        <v>20599624.487938095</v>
      </c>
      <c r="J94" s="8">
        <f t="shared" si="50"/>
        <v>19846771.903776124</v>
      </c>
      <c r="K94" s="8">
        <f t="shared" si="50"/>
        <v>19218263.44545446</v>
      </c>
      <c r="L94" s="8">
        <f t="shared" si="50"/>
        <v>18851811.797117472</v>
      </c>
      <c r="M94" s="8">
        <f t="shared" si="50"/>
        <v>18261156.375412136</v>
      </c>
      <c r="N94" s="8">
        <f t="shared" si="50"/>
        <v>17732986.138195425</v>
      </c>
      <c r="O94" s="8">
        <f t="shared" si="50"/>
        <v>17553396.087885134</v>
      </c>
      <c r="P94" s="8">
        <f t="shared" si="50"/>
        <v>17101647.517184261</v>
      </c>
      <c r="Q94" s="8">
        <f t="shared" si="50"/>
        <v>16667022.89343839</v>
      </c>
      <c r="R94" s="8">
        <f t="shared" si="50"/>
        <v>15941375.635046948</v>
      </c>
      <c r="S94" s="8">
        <f t="shared" si="50"/>
        <v>2331522.0517026228</v>
      </c>
    </row>
  </sheetData>
  <mergeCells count="5">
    <mergeCell ref="A2:E2"/>
    <mergeCell ref="F31:I31"/>
    <mergeCell ref="F40:I40"/>
    <mergeCell ref="F50:I50"/>
    <mergeCell ref="F63:I6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9"/>
  <sheetViews>
    <sheetView tabSelected="1" topLeftCell="A52" workbookViewId="0">
      <selection activeCell="M86" sqref="M86"/>
    </sheetView>
  </sheetViews>
  <sheetFormatPr defaultRowHeight="12.75" x14ac:dyDescent="0.2"/>
  <cols>
    <col min="1" max="1" width="44" customWidth="1"/>
    <col min="2" max="2" width="17" customWidth="1"/>
    <col min="3" max="3" width="9.42578125" bestFit="1" customWidth="1"/>
    <col min="4" max="4" width="15.85546875" customWidth="1"/>
    <col min="5" max="5" width="15" customWidth="1"/>
    <col min="7" max="7" width="12.42578125" bestFit="1" customWidth="1"/>
    <col min="8" max="8" width="10" customWidth="1"/>
    <col min="9" max="9" width="9.85546875" bestFit="1" customWidth="1"/>
  </cols>
  <sheetData>
    <row r="2" spans="1:18" ht="18" thickBot="1" x14ac:dyDescent="0.35">
      <c r="A2" s="64" t="s">
        <v>36</v>
      </c>
      <c r="B2" s="64"/>
      <c r="C2" s="64"/>
      <c r="D2" s="64"/>
      <c r="E2" s="64"/>
    </row>
    <row r="3" spans="1:18" ht="13.5" thickTop="1" x14ac:dyDescent="0.2"/>
    <row r="4" spans="1:18" ht="24" x14ac:dyDescent="0.2">
      <c r="A4" s="62" t="s">
        <v>110</v>
      </c>
    </row>
    <row r="5" spans="1:18" ht="13.5" x14ac:dyDescent="0.2">
      <c r="A5" s="1" t="s">
        <v>0</v>
      </c>
      <c r="B5" s="1"/>
      <c r="C5" s="1"/>
      <c r="D5" s="1"/>
      <c r="E5" s="1"/>
      <c r="F5" s="1">
        <v>2020</v>
      </c>
      <c r="G5" s="1">
        <v>2021</v>
      </c>
      <c r="H5" s="1">
        <v>2022</v>
      </c>
      <c r="I5" s="1">
        <v>2023</v>
      </c>
      <c r="J5" s="1">
        <v>2024</v>
      </c>
      <c r="K5" s="1">
        <v>2025</v>
      </c>
      <c r="L5" s="1">
        <v>2026</v>
      </c>
      <c r="M5" s="1">
        <v>2027</v>
      </c>
      <c r="N5" s="1">
        <v>2028</v>
      </c>
      <c r="O5" s="1">
        <v>2029</v>
      </c>
      <c r="P5" s="1">
        <v>2030</v>
      </c>
      <c r="Q5" s="1">
        <v>2031</v>
      </c>
      <c r="R5" s="1">
        <v>2032</v>
      </c>
    </row>
    <row r="6" spans="1:18" ht="13.5" x14ac:dyDescent="0.25">
      <c r="A6" s="2" t="s">
        <v>1</v>
      </c>
      <c r="B6" s="3"/>
      <c r="C6" s="4"/>
      <c r="D6" s="5"/>
      <c r="E6" s="6"/>
      <c r="F6" s="12">
        <f>'[1]Dĺžky VÚC'!D$82</f>
        <v>478.1939999999999</v>
      </c>
      <c r="G6" s="12">
        <f>'[1]Dĺžky VÚC'!E$82</f>
        <v>478.1939999999999</v>
      </c>
      <c r="H6" s="12">
        <f>'[1]Dĺžky VÚC'!F$82</f>
        <v>502.33199999999988</v>
      </c>
      <c r="I6" s="12">
        <f>'[1]Dĺžky VÚC'!G$82</f>
        <v>534.99199999999996</v>
      </c>
      <c r="J6" s="12">
        <f>'[1]Dĺžky VÚC'!H$82</f>
        <v>534.99199999999996</v>
      </c>
      <c r="K6" s="12">
        <f>'[1]Dĺžky VÚC'!I$82</f>
        <v>549.91199999999992</v>
      </c>
      <c r="L6" s="12">
        <f>'[1]Dĺžky VÚC'!J$82</f>
        <v>563.42199999999991</v>
      </c>
      <c r="M6" s="12">
        <f>'[1]Dĺžky VÚC'!K$82</f>
        <v>563.42199999999991</v>
      </c>
      <c r="N6" s="12">
        <f>'[1]Dĺžky VÚC'!L$82</f>
        <v>589.22199999999987</v>
      </c>
      <c r="O6" s="12">
        <f>'[1]Dĺžky VÚC'!M$82</f>
        <v>589.22199999999987</v>
      </c>
      <c r="P6" s="12">
        <f>'[1]Dĺžky VÚC'!N$82</f>
        <v>592.79199999999992</v>
      </c>
      <c r="Q6" s="12">
        <f>'[1]Dĺžky VÚC'!O$82</f>
        <v>606.32199999999989</v>
      </c>
      <c r="R6" s="12">
        <f>'[1]Dĺžky VÚC'!P$82</f>
        <v>606.32199999999989</v>
      </c>
    </row>
    <row r="7" spans="1:18" ht="13.5" x14ac:dyDescent="0.25">
      <c r="A7" s="2" t="s">
        <v>2</v>
      </c>
      <c r="B7" s="3"/>
      <c r="C7" s="4"/>
      <c r="D7" s="5"/>
      <c r="E7" s="6"/>
      <c r="F7" s="12">
        <f>'[1]Dĺžky VÚC'!D$72</f>
        <v>272.26200000000006</v>
      </c>
      <c r="G7" s="12">
        <f>'[1]Dĺžky VÚC'!E$72</f>
        <v>272.26200000000006</v>
      </c>
      <c r="H7" s="12">
        <f>'[1]Dĺžky VÚC'!F$72</f>
        <v>272.26200000000006</v>
      </c>
      <c r="I7" s="12">
        <f>'[1]Dĺžky VÚC'!G$72</f>
        <v>304.39200000000005</v>
      </c>
      <c r="J7" s="12">
        <f>'[1]Dĺžky VÚC'!H$72</f>
        <v>317.89200000000005</v>
      </c>
      <c r="K7" s="12">
        <f>'[1]Dĺžky VÚC'!I$72</f>
        <v>322.29200000000003</v>
      </c>
      <c r="L7" s="12">
        <f>'[1]Dĺžky VÚC'!J$72</f>
        <v>340.89200000000005</v>
      </c>
      <c r="M7" s="12">
        <f>'[1]Dĺžky VÚC'!K$72</f>
        <v>388.04200000000003</v>
      </c>
      <c r="N7" s="12">
        <f>'[1]Dĺžky VÚC'!L$72</f>
        <v>408.35200000000003</v>
      </c>
      <c r="O7" s="12">
        <f>'[1]Dĺžky VÚC'!M$72</f>
        <v>516.60200000000009</v>
      </c>
      <c r="P7" s="12">
        <f>'[1]Dĺžky VÚC'!N$72</f>
        <v>554.52200000000005</v>
      </c>
      <c r="Q7" s="12">
        <f>'[1]Dĺžky VÚC'!O$72</f>
        <v>624.97200000000009</v>
      </c>
      <c r="R7" s="12">
        <f>'[1]Dĺžky VÚC'!P$72</f>
        <v>648.78200000000004</v>
      </c>
    </row>
    <row r="8" spans="1:18" ht="13.5" x14ac:dyDescent="0.25">
      <c r="A8" s="2" t="s">
        <v>3</v>
      </c>
      <c r="B8" s="3"/>
      <c r="C8" s="4"/>
      <c r="D8" s="5"/>
      <c r="E8" s="6"/>
      <c r="F8" s="12">
        <f>'[1]Dĺžky VÚC'!D$73</f>
        <v>430.76599999999985</v>
      </c>
      <c r="G8" s="12">
        <f>'[1]Dĺžky VÚC'!E$73</f>
        <v>430.76599999999985</v>
      </c>
      <c r="H8" s="12">
        <f>'[1]Dĺžky VÚC'!F$73</f>
        <v>430.76599999999985</v>
      </c>
      <c r="I8" s="12">
        <f>'[1]Dĺžky VÚC'!G$73</f>
        <v>444.76599999999985</v>
      </c>
      <c r="J8" s="12">
        <f>'[1]Dĺžky VÚC'!H$73</f>
        <v>447.76599999999985</v>
      </c>
      <c r="K8" s="12">
        <f>'[1]Dĺžky VÚC'!I$73</f>
        <v>465.76599999999985</v>
      </c>
      <c r="L8" s="12">
        <f>'[1]Dĺžky VÚC'!J$73</f>
        <v>486.76599999999985</v>
      </c>
      <c r="M8" s="12">
        <f>'[1]Dĺžky VÚC'!K$73</f>
        <v>506.76599999999985</v>
      </c>
      <c r="N8" s="12">
        <f>'[1]Dĺžky VÚC'!L$73</f>
        <v>523.46599999999989</v>
      </c>
      <c r="O8" s="12">
        <f>'[1]Dĺžky VÚC'!M$73</f>
        <v>595.46599999999989</v>
      </c>
      <c r="P8" s="12">
        <f>'[1]Dĺžky VÚC'!N$73</f>
        <v>617.46599999999989</v>
      </c>
      <c r="Q8" s="12">
        <f>'[1]Dĺžky VÚC'!O$73</f>
        <v>665.46599999999989</v>
      </c>
      <c r="R8" s="12">
        <f>'[1]Dĺžky VÚC'!P$73</f>
        <v>667.46599999999989</v>
      </c>
    </row>
    <row r="9" spans="1:18" ht="13.5" x14ac:dyDescent="0.25">
      <c r="A9" s="2" t="s">
        <v>4</v>
      </c>
      <c r="B9" s="3"/>
      <c r="C9" s="4"/>
      <c r="D9" s="5"/>
      <c r="E9" s="6"/>
      <c r="F9" s="12">
        <f>'[1]Dĺžky VÚC'!D$75</f>
        <v>1197.0240000000013</v>
      </c>
      <c r="G9" s="12">
        <f>'[1]Dĺžky VÚC'!E$75</f>
        <v>1197.0240000000013</v>
      </c>
      <c r="H9" s="12">
        <f>'[1]Dĺžky VÚC'!F$75</f>
        <v>1197.0240000000013</v>
      </c>
      <c r="I9" s="12">
        <f>'[1]Dĺžky VÚC'!G$75</f>
        <v>1183.0240000000013</v>
      </c>
      <c r="J9" s="12">
        <f>'[1]Dĺžky VÚC'!H$75</f>
        <v>1180.0240000000013</v>
      </c>
      <c r="K9" s="12">
        <f>'[1]Dĺžky VÚC'!I$75</f>
        <v>1167.7540000000013</v>
      </c>
      <c r="L9" s="12">
        <f>'[1]Dĺžky VÚC'!J$75</f>
        <v>1173.6370000000013</v>
      </c>
      <c r="M9" s="12">
        <f>'[1]Dĺžky VÚC'!K$75</f>
        <v>1153.6370000000013</v>
      </c>
      <c r="N9" s="12">
        <f>'[1]Dĺžky VÚC'!L$75</f>
        <v>1144.7370000000012</v>
      </c>
      <c r="O9" s="12">
        <f>'[1]Dĺžky VÚC'!M$75</f>
        <v>1091.7370000000012</v>
      </c>
      <c r="P9" s="12">
        <f>'[1]Dĺžky VÚC'!N$75</f>
        <v>1079.2370000000012</v>
      </c>
      <c r="Q9" s="12">
        <f>'[1]Dĺžky VÚC'!O$75</f>
        <v>1031.2370000000012</v>
      </c>
      <c r="R9" s="12">
        <f>'[1]Dĺžky VÚC'!P$75</f>
        <v>1029.2370000000012</v>
      </c>
    </row>
    <row r="10" spans="1:18" ht="13.5" x14ac:dyDescent="0.2">
      <c r="A10" s="9"/>
      <c r="B10" s="10"/>
      <c r="C10" s="10"/>
      <c r="D10" s="10"/>
      <c r="E10" s="11"/>
      <c r="F10" s="13">
        <f t="shared" ref="F10:R10" si="0">SUM(F6:F9)</f>
        <v>2378.246000000001</v>
      </c>
      <c r="G10" s="13">
        <f t="shared" si="0"/>
        <v>2378.246000000001</v>
      </c>
      <c r="H10" s="13">
        <f t="shared" si="0"/>
        <v>2402.3840000000009</v>
      </c>
      <c r="I10" s="13">
        <f t="shared" si="0"/>
        <v>2467.1740000000009</v>
      </c>
      <c r="J10" s="13">
        <f t="shared" si="0"/>
        <v>2480.6740000000009</v>
      </c>
      <c r="K10" s="13">
        <f t="shared" si="0"/>
        <v>2505.7240000000011</v>
      </c>
      <c r="L10" s="13">
        <f t="shared" si="0"/>
        <v>2564.7170000000015</v>
      </c>
      <c r="M10" s="13">
        <f t="shared" si="0"/>
        <v>2611.8670000000011</v>
      </c>
      <c r="N10" s="13">
        <f t="shared" si="0"/>
        <v>2665.777000000001</v>
      </c>
      <c r="O10" s="13">
        <f t="shared" si="0"/>
        <v>2793.027000000001</v>
      </c>
      <c r="P10" s="13">
        <f t="shared" si="0"/>
        <v>2844.0170000000007</v>
      </c>
      <c r="Q10" s="13">
        <f t="shared" si="0"/>
        <v>2927.9970000000012</v>
      </c>
      <c r="R10" s="13">
        <f t="shared" si="0"/>
        <v>2951.8070000000007</v>
      </c>
    </row>
    <row r="12" spans="1:18" ht="13.5" x14ac:dyDescent="0.25">
      <c r="F12" s="14" t="s">
        <v>13</v>
      </c>
    </row>
    <row r="13" spans="1:18" ht="24" x14ac:dyDescent="0.25">
      <c r="A13" s="62" t="s">
        <v>109</v>
      </c>
      <c r="F13" s="14" t="s">
        <v>6</v>
      </c>
      <c r="H13" s="66" t="s">
        <v>116</v>
      </c>
      <c r="I13" s="66"/>
      <c r="J13" s="66"/>
      <c r="K13" s="66"/>
    </row>
    <row r="14" spans="1:18" ht="40.5" x14ac:dyDescent="0.2">
      <c r="A14" s="1" t="s">
        <v>5</v>
      </c>
      <c r="B14" s="1"/>
      <c r="C14" s="1"/>
      <c r="D14" s="1" t="s">
        <v>7</v>
      </c>
      <c r="E14" s="1"/>
      <c r="F14" s="1">
        <v>2020</v>
      </c>
      <c r="G14" s="1">
        <v>2021</v>
      </c>
      <c r="H14" s="1">
        <v>2022</v>
      </c>
      <c r="I14" s="1">
        <v>2023</v>
      </c>
      <c r="J14" s="1">
        <v>2024</v>
      </c>
      <c r="K14" s="1">
        <v>2025</v>
      </c>
      <c r="L14" s="1">
        <v>2026</v>
      </c>
      <c r="M14" s="1">
        <v>2027</v>
      </c>
      <c r="N14" s="1">
        <v>2028</v>
      </c>
      <c r="O14" s="1">
        <v>2029</v>
      </c>
      <c r="P14" s="1">
        <v>2030</v>
      </c>
      <c r="Q14" s="1">
        <v>2031</v>
      </c>
      <c r="R14" s="1">
        <v>2032</v>
      </c>
    </row>
    <row r="15" spans="1:18" ht="13.5" x14ac:dyDescent="0.25">
      <c r="A15" s="2" t="s">
        <v>1</v>
      </c>
      <c r="B15" s="3"/>
      <c r="C15" s="4"/>
      <c r="D15" s="15">
        <f>F6/F15</f>
        <v>6.5506027397260258</v>
      </c>
      <c r="E15" s="6"/>
      <c r="F15" s="7">
        <v>73</v>
      </c>
      <c r="G15" s="8">
        <f>ROUNDUP(G6/$D15,0)</f>
        <v>73</v>
      </c>
      <c r="H15" s="8">
        <f>ROUNDUP(H6/$D15,0)</f>
        <v>77</v>
      </c>
      <c r="I15" s="8">
        <f t="shared" ref="I15:R18" si="1">ROUNDUP(I6/$D15,0)</f>
        <v>82</v>
      </c>
      <c r="J15" s="8">
        <f t="shared" si="1"/>
        <v>82</v>
      </c>
      <c r="K15" s="8">
        <f t="shared" si="1"/>
        <v>84</v>
      </c>
      <c r="L15" s="8">
        <f t="shared" si="1"/>
        <v>87</v>
      </c>
      <c r="M15" s="8">
        <f t="shared" si="1"/>
        <v>87</v>
      </c>
      <c r="N15" s="8">
        <f t="shared" si="1"/>
        <v>90</v>
      </c>
      <c r="O15" s="8">
        <f t="shared" si="1"/>
        <v>90</v>
      </c>
      <c r="P15" s="8">
        <f t="shared" si="1"/>
        <v>91</v>
      </c>
      <c r="Q15" s="8">
        <f t="shared" si="1"/>
        <v>93</v>
      </c>
      <c r="R15" s="8">
        <f t="shared" si="1"/>
        <v>93</v>
      </c>
    </row>
    <row r="16" spans="1:18" ht="13.5" x14ac:dyDescent="0.25">
      <c r="A16" s="2" t="s">
        <v>2</v>
      </c>
      <c r="B16" s="3"/>
      <c r="C16" s="4"/>
      <c r="D16" s="15">
        <f t="shared" ref="D16:D18" si="2">F7/F16</f>
        <v>4.3216190476190484</v>
      </c>
      <c r="E16" s="6"/>
      <c r="F16" s="7">
        <v>63</v>
      </c>
      <c r="G16" s="8">
        <f t="shared" ref="G16:H18" si="3">ROUNDUP(G7/$D16,0)</f>
        <v>63</v>
      </c>
      <c r="H16" s="8">
        <f t="shared" si="3"/>
        <v>63</v>
      </c>
      <c r="I16" s="8">
        <f t="shared" si="1"/>
        <v>71</v>
      </c>
      <c r="J16" s="8">
        <f t="shared" si="1"/>
        <v>74</v>
      </c>
      <c r="K16" s="8">
        <f t="shared" si="1"/>
        <v>75</v>
      </c>
      <c r="L16" s="8">
        <f t="shared" si="1"/>
        <v>79</v>
      </c>
      <c r="M16" s="8">
        <f t="shared" si="1"/>
        <v>90</v>
      </c>
      <c r="N16" s="8">
        <f t="shared" si="1"/>
        <v>95</v>
      </c>
      <c r="O16" s="8">
        <f t="shared" si="1"/>
        <v>120</v>
      </c>
      <c r="P16" s="8">
        <f t="shared" si="1"/>
        <v>129</v>
      </c>
      <c r="Q16" s="8">
        <f t="shared" si="1"/>
        <v>145</v>
      </c>
      <c r="R16" s="8">
        <f t="shared" si="1"/>
        <v>151</v>
      </c>
    </row>
    <row r="17" spans="1:18" ht="13.5" x14ac:dyDescent="0.25">
      <c r="A17" s="2" t="s">
        <v>3</v>
      </c>
      <c r="B17" s="3"/>
      <c r="C17" s="4"/>
      <c r="D17" s="15">
        <f t="shared" si="2"/>
        <v>1.2897185628742511</v>
      </c>
      <c r="E17" s="6"/>
      <c r="F17" s="7">
        <v>334</v>
      </c>
      <c r="G17" s="8">
        <f t="shared" si="3"/>
        <v>334</v>
      </c>
      <c r="H17" s="8">
        <f t="shared" si="3"/>
        <v>334</v>
      </c>
      <c r="I17" s="8">
        <f t="shared" si="1"/>
        <v>345</v>
      </c>
      <c r="J17" s="8">
        <f t="shared" si="1"/>
        <v>348</v>
      </c>
      <c r="K17" s="8">
        <f t="shared" si="1"/>
        <v>362</v>
      </c>
      <c r="L17" s="8">
        <f t="shared" si="1"/>
        <v>378</v>
      </c>
      <c r="M17" s="8">
        <f t="shared" si="1"/>
        <v>393</v>
      </c>
      <c r="N17" s="8">
        <f t="shared" si="1"/>
        <v>406</v>
      </c>
      <c r="O17" s="8">
        <f t="shared" si="1"/>
        <v>462</v>
      </c>
      <c r="P17" s="8">
        <f t="shared" si="1"/>
        <v>479</v>
      </c>
      <c r="Q17" s="8">
        <f t="shared" si="1"/>
        <v>516</v>
      </c>
      <c r="R17" s="8">
        <f t="shared" si="1"/>
        <v>518</v>
      </c>
    </row>
    <row r="18" spans="1:18" ht="13.5" x14ac:dyDescent="0.25">
      <c r="A18" s="2" t="s">
        <v>4</v>
      </c>
      <c r="B18" s="3"/>
      <c r="C18" s="4"/>
      <c r="D18" s="15">
        <f t="shared" si="2"/>
        <v>1.5190659898477172</v>
      </c>
      <c r="E18" s="6"/>
      <c r="F18" s="7">
        <v>788</v>
      </c>
      <c r="G18" s="8">
        <f t="shared" si="3"/>
        <v>788</v>
      </c>
      <c r="H18" s="8">
        <f t="shared" si="3"/>
        <v>788</v>
      </c>
      <c r="I18" s="8">
        <f t="shared" si="1"/>
        <v>779</v>
      </c>
      <c r="J18" s="8">
        <f t="shared" si="1"/>
        <v>777</v>
      </c>
      <c r="K18" s="8">
        <f t="shared" si="1"/>
        <v>769</v>
      </c>
      <c r="L18" s="8">
        <f t="shared" si="1"/>
        <v>773</v>
      </c>
      <c r="M18" s="8">
        <f t="shared" si="1"/>
        <v>760</v>
      </c>
      <c r="N18" s="8">
        <f t="shared" si="1"/>
        <v>754</v>
      </c>
      <c r="O18" s="8">
        <f t="shared" si="1"/>
        <v>719</v>
      </c>
      <c r="P18" s="8">
        <f t="shared" si="1"/>
        <v>711</v>
      </c>
      <c r="Q18" s="8">
        <f t="shared" si="1"/>
        <v>679</v>
      </c>
      <c r="R18" s="8">
        <f t="shared" si="1"/>
        <v>678</v>
      </c>
    </row>
    <row r="19" spans="1:18" ht="13.5" x14ac:dyDescent="0.2">
      <c r="A19" s="9"/>
      <c r="B19" s="10"/>
      <c r="C19" s="10"/>
      <c r="D19" s="10"/>
      <c r="E19" s="11"/>
      <c r="F19" s="11">
        <f t="shared" ref="F19:R19" si="4">SUM(F15:F18)</f>
        <v>1258</v>
      </c>
      <c r="G19" s="11">
        <f t="shared" si="4"/>
        <v>1258</v>
      </c>
      <c r="H19" s="11">
        <f t="shared" si="4"/>
        <v>1262</v>
      </c>
      <c r="I19" s="11">
        <f t="shared" si="4"/>
        <v>1277</v>
      </c>
      <c r="J19" s="11">
        <f t="shared" si="4"/>
        <v>1281</v>
      </c>
      <c r="K19" s="11">
        <f t="shared" si="4"/>
        <v>1290</v>
      </c>
      <c r="L19" s="11">
        <f t="shared" si="4"/>
        <v>1317</v>
      </c>
      <c r="M19" s="11">
        <f t="shared" si="4"/>
        <v>1330</v>
      </c>
      <c r="N19" s="11">
        <f t="shared" si="4"/>
        <v>1345</v>
      </c>
      <c r="O19" s="11">
        <f t="shared" si="4"/>
        <v>1391</v>
      </c>
      <c r="P19" s="11">
        <f t="shared" si="4"/>
        <v>1410</v>
      </c>
      <c r="Q19" s="11">
        <f t="shared" si="4"/>
        <v>1433</v>
      </c>
      <c r="R19" s="11">
        <f t="shared" si="4"/>
        <v>1440</v>
      </c>
    </row>
    <row r="22" spans="1:18" ht="36" x14ac:dyDescent="0.2">
      <c r="A22" s="62" t="s">
        <v>111</v>
      </c>
      <c r="F22" s="65" t="s">
        <v>117</v>
      </c>
      <c r="G22" s="65"/>
      <c r="H22" s="65"/>
      <c r="I22" s="65"/>
    </row>
    <row r="23" spans="1:18" ht="13.5" x14ac:dyDescent="0.2">
      <c r="A23" s="1" t="s">
        <v>38</v>
      </c>
      <c r="B23" s="1"/>
      <c r="C23" s="1"/>
      <c r="D23" s="1" t="s">
        <v>15</v>
      </c>
      <c r="E23" s="1"/>
      <c r="F23" s="1">
        <v>2020</v>
      </c>
      <c r="G23" s="1">
        <v>2021</v>
      </c>
      <c r="H23" s="1">
        <v>2022</v>
      </c>
      <c r="I23" s="1">
        <v>2023</v>
      </c>
      <c r="J23" s="1">
        <v>2024</v>
      </c>
      <c r="K23" s="1">
        <v>2025</v>
      </c>
      <c r="L23" s="1">
        <v>2026</v>
      </c>
      <c r="M23" s="1">
        <v>2027</v>
      </c>
      <c r="N23" s="1">
        <v>2028</v>
      </c>
      <c r="O23" s="1">
        <v>2029</v>
      </c>
      <c r="P23" s="1">
        <v>2030</v>
      </c>
      <c r="Q23" s="1">
        <v>2031</v>
      </c>
      <c r="R23" s="1">
        <v>2032</v>
      </c>
    </row>
    <row r="24" spans="1:18" ht="13.5" x14ac:dyDescent="0.25">
      <c r="A24" s="2" t="s">
        <v>1</v>
      </c>
      <c r="B24" s="3"/>
      <c r="C24" s="4"/>
      <c r="D24" s="16">
        <v>3450</v>
      </c>
      <c r="E24" s="6"/>
      <c r="F24" s="8"/>
      <c r="G24" s="8"/>
      <c r="H24" s="8">
        <f>H15*$D24</f>
        <v>265650</v>
      </c>
      <c r="I24" s="8">
        <f>ABS((I15-H15)*$D24)</f>
        <v>17250</v>
      </c>
      <c r="J24" s="8">
        <f t="shared" ref="J24:R24" si="5">ABS((J15-I15)*$D24)</f>
        <v>0</v>
      </c>
      <c r="K24" s="8">
        <f t="shared" si="5"/>
        <v>6900</v>
      </c>
      <c r="L24" s="8">
        <f t="shared" si="5"/>
        <v>10350</v>
      </c>
      <c r="M24" s="8">
        <f t="shared" si="5"/>
        <v>0</v>
      </c>
      <c r="N24" s="8">
        <f t="shared" si="5"/>
        <v>10350</v>
      </c>
      <c r="O24" s="8">
        <f t="shared" si="5"/>
        <v>0</v>
      </c>
      <c r="P24" s="8">
        <f t="shared" si="5"/>
        <v>3450</v>
      </c>
      <c r="Q24" s="8">
        <f t="shared" si="5"/>
        <v>6900</v>
      </c>
      <c r="R24" s="8">
        <f t="shared" si="5"/>
        <v>0</v>
      </c>
    </row>
    <row r="25" spans="1:18" ht="13.5" x14ac:dyDescent="0.25">
      <c r="A25" s="2" t="s">
        <v>2</v>
      </c>
      <c r="B25" s="3"/>
      <c r="C25" s="4"/>
      <c r="D25" s="16">
        <v>3450</v>
      </c>
      <c r="E25" s="6"/>
      <c r="F25" s="8"/>
      <c r="G25" s="8"/>
      <c r="H25" s="8">
        <f t="shared" ref="H25:H27" si="6">H16*$D25</f>
        <v>217350</v>
      </c>
      <c r="I25" s="8">
        <f t="shared" ref="I25:R27" si="7">ABS((I16-H16)*$D25)</f>
        <v>27600</v>
      </c>
      <c r="J25" s="8">
        <f t="shared" si="7"/>
        <v>10350</v>
      </c>
      <c r="K25" s="8">
        <f t="shared" si="7"/>
        <v>3450</v>
      </c>
      <c r="L25" s="8">
        <f t="shared" si="7"/>
        <v>13800</v>
      </c>
      <c r="M25" s="8">
        <f t="shared" si="7"/>
        <v>37950</v>
      </c>
      <c r="N25" s="8">
        <f t="shared" si="7"/>
        <v>17250</v>
      </c>
      <c r="O25" s="8">
        <f t="shared" si="7"/>
        <v>86250</v>
      </c>
      <c r="P25" s="8">
        <f t="shared" si="7"/>
        <v>31050</v>
      </c>
      <c r="Q25" s="8">
        <f t="shared" si="7"/>
        <v>55200</v>
      </c>
      <c r="R25" s="8">
        <f t="shared" si="7"/>
        <v>20700</v>
      </c>
    </row>
    <row r="26" spans="1:18" ht="13.5" x14ac:dyDescent="0.25">
      <c r="A26" s="2" t="s">
        <v>3</v>
      </c>
      <c r="B26" s="3"/>
      <c r="C26" s="4"/>
      <c r="D26" s="16">
        <v>3450</v>
      </c>
      <c r="E26" s="6"/>
      <c r="F26" s="8"/>
      <c r="G26" s="8"/>
      <c r="H26" s="8">
        <f t="shared" si="6"/>
        <v>1152300</v>
      </c>
      <c r="I26" s="8">
        <f t="shared" si="7"/>
        <v>37950</v>
      </c>
      <c r="J26" s="8">
        <f t="shared" si="7"/>
        <v>10350</v>
      </c>
      <c r="K26" s="8">
        <f t="shared" si="7"/>
        <v>48300</v>
      </c>
      <c r="L26" s="8">
        <f t="shared" si="7"/>
        <v>55200</v>
      </c>
      <c r="M26" s="8">
        <f t="shared" si="7"/>
        <v>51750</v>
      </c>
      <c r="N26" s="8">
        <f t="shared" si="7"/>
        <v>44850</v>
      </c>
      <c r="O26" s="8">
        <f t="shared" si="7"/>
        <v>193200</v>
      </c>
      <c r="P26" s="8">
        <f t="shared" si="7"/>
        <v>58650</v>
      </c>
      <c r="Q26" s="8">
        <f t="shared" si="7"/>
        <v>127650</v>
      </c>
      <c r="R26" s="8">
        <f t="shared" si="7"/>
        <v>6900</v>
      </c>
    </row>
    <row r="27" spans="1:18" ht="13.5" x14ac:dyDescent="0.25">
      <c r="A27" s="2" t="s">
        <v>4</v>
      </c>
      <c r="B27" s="3"/>
      <c r="C27" s="4"/>
      <c r="D27" s="16">
        <v>3450</v>
      </c>
      <c r="E27" s="6"/>
      <c r="F27" s="8"/>
      <c r="G27" s="8"/>
      <c r="H27" s="8">
        <f t="shared" si="6"/>
        <v>2718600</v>
      </c>
      <c r="I27" s="8">
        <f t="shared" si="7"/>
        <v>31050</v>
      </c>
      <c r="J27" s="8">
        <f t="shared" si="7"/>
        <v>6900</v>
      </c>
      <c r="K27" s="8">
        <f t="shared" si="7"/>
        <v>27600</v>
      </c>
      <c r="L27" s="8">
        <f t="shared" si="7"/>
        <v>13800</v>
      </c>
      <c r="M27" s="8">
        <f t="shared" si="7"/>
        <v>44850</v>
      </c>
      <c r="N27" s="8">
        <f t="shared" si="7"/>
        <v>20700</v>
      </c>
      <c r="O27" s="8">
        <f t="shared" si="7"/>
        <v>120750</v>
      </c>
      <c r="P27" s="8">
        <f t="shared" si="7"/>
        <v>27600</v>
      </c>
      <c r="Q27" s="8">
        <f t="shared" si="7"/>
        <v>110400</v>
      </c>
      <c r="R27" s="8">
        <f t="shared" si="7"/>
        <v>3450</v>
      </c>
    </row>
    <row r="28" spans="1:18" ht="13.5" x14ac:dyDescent="0.2">
      <c r="A28" s="9"/>
      <c r="B28" s="10"/>
      <c r="C28" s="10"/>
      <c r="D28" s="10"/>
      <c r="E28" s="11"/>
      <c r="F28" s="11">
        <f t="shared" ref="F28:H28" si="8">SUM(F24:F27)</f>
        <v>0</v>
      </c>
      <c r="G28" s="11">
        <f t="shared" si="8"/>
        <v>0</v>
      </c>
      <c r="H28" s="11">
        <f t="shared" si="8"/>
        <v>4353900</v>
      </c>
      <c r="I28" s="11">
        <f t="shared" ref="I28:R28" si="9">SUM(I24:I27)</f>
        <v>113850</v>
      </c>
      <c r="J28" s="11">
        <f t="shared" si="9"/>
        <v>27600</v>
      </c>
      <c r="K28" s="11">
        <f t="shared" si="9"/>
        <v>86250</v>
      </c>
      <c r="L28" s="11">
        <f t="shared" si="9"/>
        <v>93150</v>
      </c>
      <c r="M28" s="11">
        <f t="shared" si="9"/>
        <v>134550</v>
      </c>
      <c r="N28" s="11">
        <f t="shared" si="9"/>
        <v>93150</v>
      </c>
      <c r="O28" s="11">
        <f t="shared" si="9"/>
        <v>400200</v>
      </c>
      <c r="P28" s="11">
        <f t="shared" si="9"/>
        <v>120750</v>
      </c>
      <c r="Q28" s="11">
        <f t="shared" si="9"/>
        <v>300150</v>
      </c>
      <c r="R28" s="11">
        <f t="shared" si="9"/>
        <v>31050</v>
      </c>
    </row>
    <row r="29" spans="1:18" ht="13.5" x14ac:dyDescent="0.25">
      <c r="A29" s="32" t="s">
        <v>46</v>
      </c>
      <c r="H29" s="60"/>
    </row>
    <row r="30" spans="1:18" ht="24" x14ac:dyDescent="0.2">
      <c r="A30" s="62" t="s">
        <v>112</v>
      </c>
    </row>
    <row r="31" spans="1:18" ht="21" customHeight="1" x14ac:dyDescent="0.25">
      <c r="A31" s="17" t="s">
        <v>44</v>
      </c>
      <c r="B31" s="31">
        <v>3.2000000000000001E-2</v>
      </c>
      <c r="F31" s="65" t="s">
        <v>118</v>
      </c>
      <c r="G31" s="65"/>
      <c r="H31" s="65"/>
      <c r="I31" s="65"/>
    </row>
    <row r="32" spans="1:18" ht="13.5" x14ac:dyDescent="0.2">
      <c r="A32" s="1" t="s">
        <v>39</v>
      </c>
      <c r="B32" s="1"/>
      <c r="C32" s="1"/>
      <c r="D32" s="1" t="s">
        <v>40</v>
      </c>
      <c r="E32" s="1"/>
      <c r="F32" s="1">
        <v>2020</v>
      </c>
      <c r="G32" s="1">
        <v>2021</v>
      </c>
      <c r="H32" s="1">
        <v>2022</v>
      </c>
      <c r="I32" s="1">
        <v>2023</v>
      </c>
      <c r="J32" s="1">
        <v>2024</v>
      </c>
      <c r="K32" s="1">
        <v>2025</v>
      </c>
      <c r="L32" s="1">
        <v>2026</v>
      </c>
      <c r="M32" s="1">
        <v>2027</v>
      </c>
      <c r="N32" s="1">
        <v>2028</v>
      </c>
      <c r="O32" s="1">
        <v>2029</v>
      </c>
      <c r="P32" s="1">
        <v>2030</v>
      </c>
      <c r="Q32" s="1">
        <v>2031</v>
      </c>
      <c r="R32" s="1">
        <v>2032</v>
      </c>
    </row>
    <row r="33" spans="1:19" s="22" customFormat="1" ht="13.5" x14ac:dyDescent="0.25">
      <c r="A33" s="17" t="s">
        <v>20</v>
      </c>
      <c r="B33" s="18"/>
      <c r="C33" s="19"/>
      <c r="D33" s="19"/>
      <c r="E33" s="20"/>
      <c r="F33" s="21"/>
      <c r="G33" s="21"/>
      <c r="H33" s="21">
        <v>6</v>
      </c>
      <c r="I33" s="21">
        <v>12</v>
      </c>
      <c r="J33" s="21">
        <v>12</v>
      </c>
      <c r="K33" s="21">
        <v>12</v>
      </c>
      <c r="L33" s="21">
        <v>12</v>
      </c>
      <c r="M33" s="21">
        <v>12</v>
      </c>
      <c r="N33" s="21">
        <v>12</v>
      </c>
      <c r="O33" s="21">
        <v>12</v>
      </c>
      <c r="P33" s="21">
        <v>12</v>
      </c>
      <c r="Q33" s="21">
        <v>12</v>
      </c>
      <c r="R33" s="21">
        <v>12</v>
      </c>
      <c r="S33"/>
    </row>
    <row r="34" spans="1:19" ht="13.5" x14ac:dyDescent="0.25">
      <c r="A34" s="2" t="s">
        <v>70</v>
      </c>
      <c r="B34" s="3"/>
      <c r="C34" s="16"/>
      <c r="D34" s="16">
        <f>SUM('[2]Agenda SVM (alt.2)'!$G$87:$G$90)</f>
        <v>9300</v>
      </c>
      <c r="E34" s="6"/>
      <c r="F34" s="8"/>
      <c r="G34" s="8"/>
      <c r="H34" s="8">
        <f>$D34*H$33</f>
        <v>55800</v>
      </c>
      <c r="I34" s="8">
        <f t="shared" ref="I34:R35" si="10">$D34*I$33</f>
        <v>111600</v>
      </c>
      <c r="J34" s="8">
        <f t="shared" si="10"/>
        <v>111600</v>
      </c>
      <c r="K34" s="8">
        <f t="shared" si="10"/>
        <v>111600</v>
      </c>
      <c r="L34" s="8">
        <f t="shared" si="10"/>
        <v>111600</v>
      </c>
      <c r="M34" s="8">
        <f t="shared" si="10"/>
        <v>111600</v>
      </c>
      <c r="N34" s="8">
        <f t="shared" si="10"/>
        <v>111600</v>
      </c>
      <c r="O34" s="8">
        <f t="shared" si="10"/>
        <v>111600</v>
      </c>
      <c r="P34" s="8">
        <f t="shared" si="10"/>
        <v>111600</v>
      </c>
      <c r="Q34" s="8">
        <f t="shared" si="10"/>
        <v>111600</v>
      </c>
      <c r="R34" s="8">
        <f t="shared" si="10"/>
        <v>111600</v>
      </c>
    </row>
    <row r="35" spans="1:19" ht="13.5" x14ac:dyDescent="0.25">
      <c r="A35" s="2" t="s">
        <v>41</v>
      </c>
      <c r="B35" s="3"/>
      <c r="C35" s="16"/>
      <c r="D35" s="16">
        <v>1200</v>
      </c>
      <c r="E35" s="6"/>
      <c r="F35" s="8"/>
      <c r="G35" s="8"/>
      <c r="H35" s="8">
        <f>$D35*H$33</f>
        <v>7200</v>
      </c>
      <c r="I35" s="8">
        <f t="shared" si="10"/>
        <v>14400</v>
      </c>
      <c r="J35" s="8">
        <f t="shared" si="10"/>
        <v>14400</v>
      </c>
      <c r="K35" s="8">
        <f t="shared" si="10"/>
        <v>14400</v>
      </c>
      <c r="L35" s="8">
        <f t="shared" si="10"/>
        <v>14400</v>
      </c>
      <c r="M35" s="8">
        <f t="shared" si="10"/>
        <v>14400</v>
      </c>
      <c r="N35" s="8">
        <f t="shared" si="10"/>
        <v>14400</v>
      </c>
      <c r="O35" s="8">
        <f t="shared" si="10"/>
        <v>14400</v>
      </c>
      <c r="P35" s="8">
        <f t="shared" si="10"/>
        <v>14400</v>
      </c>
      <c r="Q35" s="8">
        <f t="shared" si="10"/>
        <v>14400</v>
      </c>
      <c r="R35" s="8">
        <f t="shared" si="10"/>
        <v>14400</v>
      </c>
    </row>
    <row r="36" spans="1:19" ht="13.5" x14ac:dyDescent="0.2">
      <c r="A36" s="9"/>
      <c r="B36" s="10"/>
      <c r="C36" s="10"/>
      <c r="D36" s="10"/>
      <c r="E36" s="11"/>
      <c r="F36" s="11">
        <f t="shared" ref="F36:R36" si="11">SUM(F34:F35)</f>
        <v>0</v>
      </c>
      <c r="G36" s="11">
        <f t="shared" si="11"/>
        <v>0</v>
      </c>
      <c r="H36" s="11">
        <f t="shared" si="11"/>
        <v>63000</v>
      </c>
      <c r="I36" s="11">
        <f t="shared" si="11"/>
        <v>126000</v>
      </c>
      <c r="J36" s="11">
        <f t="shared" si="11"/>
        <v>126000</v>
      </c>
      <c r="K36" s="11">
        <f t="shared" si="11"/>
        <v>126000</v>
      </c>
      <c r="L36" s="11">
        <f t="shared" si="11"/>
        <v>126000</v>
      </c>
      <c r="M36" s="11">
        <f t="shared" si="11"/>
        <v>126000</v>
      </c>
      <c r="N36" s="11">
        <f t="shared" si="11"/>
        <v>126000</v>
      </c>
      <c r="O36" s="11">
        <f t="shared" si="11"/>
        <v>126000</v>
      </c>
      <c r="P36" s="11">
        <f t="shared" si="11"/>
        <v>126000</v>
      </c>
      <c r="Q36" s="11">
        <f t="shared" si="11"/>
        <v>126000</v>
      </c>
      <c r="R36" s="11">
        <f t="shared" si="11"/>
        <v>126000</v>
      </c>
    </row>
    <row r="37" spans="1:19" x14ac:dyDescent="0.2">
      <c r="A37" s="32" t="s">
        <v>45</v>
      </c>
    </row>
    <row r="39" spans="1:19" ht="22.5" customHeight="1" x14ac:dyDescent="0.2">
      <c r="A39" s="62" t="s">
        <v>114</v>
      </c>
      <c r="E39" s="33">
        <v>0.08</v>
      </c>
      <c r="F39" s="65" t="s">
        <v>80</v>
      </c>
      <c r="G39" s="65"/>
      <c r="H39" s="65"/>
      <c r="I39" s="65"/>
      <c r="K39" s="66" t="s">
        <v>119</v>
      </c>
      <c r="L39" s="66"/>
      <c r="M39" s="66"/>
      <c r="N39" s="66"/>
    </row>
    <row r="40" spans="1:19" ht="27" x14ac:dyDescent="0.2">
      <c r="A40" s="1" t="s">
        <v>21</v>
      </c>
      <c r="B40" s="1"/>
      <c r="C40" s="1" t="s">
        <v>22</v>
      </c>
      <c r="D40" s="1" t="s">
        <v>23</v>
      </c>
      <c r="E40" s="1" t="s">
        <v>57</v>
      </c>
      <c r="F40" s="1">
        <v>2020</v>
      </c>
      <c r="G40" s="1">
        <v>2021</v>
      </c>
      <c r="H40" s="1">
        <v>2022</v>
      </c>
      <c r="I40" s="1">
        <v>2023</v>
      </c>
      <c r="J40" s="1">
        <v>2024</v>
      </c>
      <c r="K40" s="1">
        <v>2025</v>
      </c>
      <c r="L40" s="1">
        <v>2026</v>
      </c>
      <c r="M40" s="1">
        <v>2027</v>
      </c>
      <c r="N40" s="1">
        <v>2028</v>
      </c>
      <c r="O40" s="1">
        <v>2029</v>
      </c>
      <c r="P40" s="1">
        <v>2030</v>
      </c>
      <c r="Q40" s="1">
        <v>2031</v>
      </c>
      <c r="R40" s="1">
        <v>2032</v>
      </c>
      <c r="S40" s="1">
        <v>2033</v>
      </c>
    </row>
    <row r="41" spans="1:19" s="22" customFormat="1" ht="13.5" x14ac:dyDescent="0.25">
      <c r="A41" s="17" t="s">
        <v>20</v>
      </c>
      <c r="B41" s="18"/>
      <c r="C41" s="19"/>
      <c r="D41" s="19"/>
      <c r="E41" s="20"/>
      <c r="F41" s="21"/>
      <c r="G41" s="21"/>
      <c r="H41" s="21">
        <v>3</v>
      </c>
      <c r="I41" s="21">
        <v>12</v>
      </c>
      <c r="J41" s="21">
        <v>12</v>
      </c>
      <c r="K41" s="21">
        <v>12</v>
      </c>
      <c r="L41" s="21">
        <v>12</v>
      </c>
      <c r="M41" s="21">
        <v>12</v>
      </c>
      <c r="N41" s="21">
        <v>12</v>
      </c>
      <c r="O41" s="21">
        <v>12</v>
      </c>
      <c r="P41" s="21">
        <v>12</v>
      </c>
      <c r="Q41" s="21">
        <v>12</v>
      </c>
      <c r="R41" s="21">
        <v>12</v>
      </c>
      <c r="S41" s="21">
        <v>0</v>
      </c>
    </row>
    <row r="42" spans="1:19" ht="13.5" x14ac:dyDescent="0.25">
      <c r="A42" s="17" t="s">
        <v>59</v>
      </c>
      <c r="B42" s="18"/>
      <c r="C42" s="19"/>
      <c r="D42" s="19"/>
      <c r="E42" s="20"/>
      <c r="F42" s="21"/>
      <c r="G42" s="21"/>
      <c r="H42" s="21">
        <v>420000</v>
      </c>
    </row>
    <row r="43" spans="1:19" ht="13.5" x14ac:dyDescent="0.25">
      <c r="A43" s="17" t="s">
        <v>92</v>
      </c>
      <c r="B43" s="18">
        <v>0.1</v>
      </c>
      <c r="C43" s="19"/>
      <c r="D43" s="19"/>
      <c r="E43" s="20"/>
      <c r="F43" s="21"/>
      <c r="G43" s="21"/>
      <c r="H43" s="21"/>
      <c r="I43" s="21">
        <f>$B43*I44</f>
        <v>28000</v>
      </c>
      <c r="J43" s="21">
        <f t="shared" ref="J43:Q43" si="12">$B43*J44</f>
        <v>28000</v>
      </c>
      <c r="K43" s="21">
        <f t="shared" si="12"/>
        <v>28000</v>
      </c>
      <c r="L43" s="21">
        <f t="shared" si="12"/>
        <v>28000</v>
      </c>
      <c r="M43" s="21">
        <f t="shared" si="12"/>
        <v>28000</v>
      </c>
      <c r="N43" s="21">
        <f t="shared" si="12"/>
        <v>28000</v>
      </c>
      <c r="O43" s="21">
        <f t="shared" si="12"/>
        <v>28000</v>
      </c>
      <c r="P43" s="21">
        <f t="shared" si="12"/>
        <v>28000</v>
      </c>
      <c r="Q43" s="21">
        <f t="shared" si="12"/>
        <v>28000</v>
      </c>
      <c r="R43" s="21"/>
      <c r="S43" s="21"/>
    </row>
    <row r="44" spans="1:19" s="22" customFormat="1" ht="14.25" thickBot="1" x14ac:dyDescent="0.3">
      <c r="A44" s="49" t="s">
        <v>60</v>
      </c>
      <c r="B44" s="50"/>
      <c r="C44" s="51"/>
      <c r="D44" s="51"/>
      <c r="E44" s="52"/>
      <c r="F44" s="53"/>
      <c r="G44" s="53"/>
      <c r="H44" s="53">
        <v>280000</v>
      </c>
      <c r="I44" s="53">
        <f>H44</f>
        <v>280000</v>
      </c>
      <c r="J44" s="53">
        <f t="shared" ref="J44:R44" si="13">I44</f>
        <v>280000</v>
      </c>
      <c r="K44" s="53">
        <f t="shared" si="13"/>
        <v>280000</v>
      </c>
      <c r="L44" s="53">
        <f t="shared" si="13"/>
        <v>280000</v>
      </c>
      <c r="M44" s="53">
        <f t="shared" si="13"/>
        <v>280000</v>
      </c>
      <c r="N44" s="53">
        <f t="shared" si="13"/>
        <v>280000</v>
      </c>
      <c r="O44" s="53">
        <f t="shared" si="13"/>
        <v>280000</v>
      </c>
      <c r="P44" s="53">
        <f t="shared" si="13"/>
        <v>280000</v>
      </c>
      <c r="Q44" s="53">
        <f t="shared" si="13"/>
        <v>280000</v>
      </c>
      <c r="R44" s="53">
        <f t="shared" si="13"/>
        <v>280000</v>
      </c>
      <c r="S44" s="53"/>
    </row>
    <row r="45" spans="1:19" ht="14.25" thickTop="1" x14ac:dyDescent="0.25">
      <c r="A45" s="44" t="s">
        <v>61</v>
      </c>
      <c r="B45" s="45"/>
      <c r="C45" s="46">
        <v>85</v>
      </c>
      <c r="D45" s="46"/>
      <c r="E45" s="47"/>
      <c r="F45" s="48"/>
      <c r="G45" s="48"/>
      <c r="H45" s="48">
        <f>$C45*H42</f>
        <v>35700000</v>
      </c>
    </row>
    <row r="46" spans="1:19" ht="13.5" x14ac:dyDescent="0.25">
      <c r="A46" s="2" t="s">
        <v>91</v>
      </c>
      <c r="B46" s="3"/>
      <c r="C46" s="16">
        <v>85</v>
      </c>
      <c r="D46" s="16"/>
      <c r="E46" s="6"/>
      <c r="F46" s="8"/>
      <c r="G46" s="8"/>
      <c r="H46" s="8"/>
      <c r="I46" s="8">
        <f t="shared" ref="I46:S46" si="14">$C45*I43</f>
        <v>2380000</v>
      </c>
      <c r="J46" s="8">
        <f t="shared" si="14"/>
        <v>2380000</v>
      </c>
      <c r="K46" s="8">
        <f t="shared" si="14"/>
        <v>2380000</v>
      </c>
      <c r="L46" s="8">
        <f t="shared" si="14"/>
        <v>2380000</v>
      </c>
      <c r="M46" s="8">
        <f t="shared" si="14"/>
        <v>2380000</v>
      </c>
      <c r="N46" s="8">
        <f t="shared" si="14"/>
        <v>2380000</v>
      </c>
      <c r="O46" s="8">
        <f t="shared" si="14"/>
        <v>2380000</v>
      </c>
      <c r="P46" s="8">
        <f t="shared" si="14"/>
        <v>2380000</v>
      </c>
      <c r="Q46" s="8">
        <f t="shared" si="14"/>
        <v>2380000</v>
      </c>
      <c r="R46" s="8">
        <f t="shared" si="14"/>
        <v>0</v>
      </c>
      <c r="S46" s="8">
        <f t="shared" si="14"/>
        <v>0</v>
      </c>
    </row>
    <row r="47" spans="1:19" ht="13.5" x14ac:dyDescent="0.25">
      <c r="A47" s="2" t="s">
        <v>113</v>
      </c>
      <c r="B47" s="3"/>
      <c r="C47" s="16"/>
      <c r="D47" s="16">
        <v>1.8</v>
      </c>
      <c r="E47" s="6"/>
      <c r="F47" s="8"/>
      <c r="G47" s="8"/>
      <c r="H47" s="8">
        <f>$D47*H44*H41</f>
        <v>1512000</v>
      </c>
      <c r="I47" s="8">
        <f t="shared" ref="I47:R47" si="15">$D47*I44*I41</f>
        <v>6048000</v>
      </c>
      <c r="J47" s="8">
        <f t="shared" si="15"/>
        <v>6048000</v>
      </c>
      <c r="K47" s="8">
        <f t="shared" si="15"/>
        <v>6048000</v>
      </c>
      <c r="L47" s="8">
        <f t="shared" si="15"/>
        <v>6048000</v>
      </c>
      <c r="M47" s="8">
        <f t="shared" si="15"/>
        <v>6048000</v>
      </c>
      <c r="N47" s="8">
        <f t="shared" si="15"/>
        <v>6048000</v>
      </c>
      <c r="O47" s="8">
        <f t="shared" si="15"/>
        <v>6048000</v>
      </c>
      <c r="P47" s="8">
        <f t="shared" si="15"/>
        <v>6048000</v>
      </c>
      <c r="Q47" s="8">
        <f t="shared" si="15"/>
        <v>6048000</v>
      </c>
      <c r="R47" s="8">
        <f t="shared" si="15"/>
        <v>6048000</v>
      </c>
      <c r="S47" s="8"/>
    </row>
    <row r="48" spans="1:19" ht="13.5" x14ac:dyDescent="0.25">
      <c r="A48" s="34" t="s">
        <v>56</v>
      </c>
      <c r="B48" s="35"/>
      <c r="C48" s="36"/>
      <c r="D48" s="36"/>
      <c r="E48" s="36">
        <f>C45*E39</f>
        <v>6.8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>
        <f>R44*E48</f>
        <v>1904000</v>
      </c>
    </row>
    <row r="49" spans="1:19" ht="13.5" x14ac:dyDescent="0.2">
      <c r="A49" s="9"/>
      <c r="B49" s="10"/>
      <c r="C49" s="10"/>
      <c r="D49" s="10"/>
      <c r="E49" s="11"/>
      <c r="F49" s="11">
        <f>SUM(F44:F47)</f>
        <v>0</v>
      </c>
      <c r="G49" s="11">
        <f>SUM(G44:G47)</f>
        <v>0</v>
      </c>
      <c r="H49" s="11">
        <f>SUM(H45:H48)</f>
        <v>37212000</v>
      </c>
      <c r="I49" s="11">
        <f t="shared" ref="I49:S49" si="16">SUM(I46:I48)</f>
        <v>8428000</v>
      </c>
      <c r="J49" s="11">
        <f t="shared" si="16"/>
        <v>8428000</v>
      </c>
      <c r="K49" s="11">
        <f t="shared" si="16"/>
        <v>8428000</v>
      </c>
      <c r="L49" s="11">
        <f t="shared" si="16"/>
        <v>8428000</v>
      </c>
      <c r="M49" s="11">
        <f t="shared" si="16"/>
        <v>8428000</v>
      </c>
      <c r="N49" s="11">
        <f t="shared" si="16"/>
        <v>8428000</v>
      </c>
      <c r="O49" s="11">
        <f t="shared" si="16"/>
        <v>8428000</v>
      </c>
      <c r="P49" s="11">
        <f t="shared" si="16"/>
        <v>8428000</v>
      </c>
      <c r="Q49" s="11">
        <f t="shared" si="16"/>
        <v>8428000</v>
      </c>
      <c r="R49" s="11">
        <f t="shared" si="16"/>
        <v>6048000</v>
      </c>
      <c r="S49" s="11">
        <f t="shared" si="16"/>
        <v>1904000</v>
      </c>
    </row>
    <row r="50" spans="1:19" ht="13.5" x14ac:dyDescent="0.25">
      <c r="A50" s="8"/>
      <c r="B50" s="8"/>
      <c r="C50" s="8"/>
      <c r="D50" s="8"/>
      <c r="E50" s="8"/>
      <c r="F50" s="8"/>
      <c r="G50" s="8"/>
      <c r="H50" s="8"/>
      <c r="I50" s="8">
        <f t="shared" ref="I50:S50" si="17">$C49*I47</f>
        <v>0</v>
      </c>
      <c r="J50" s="8">
        <f t="shared" si="17"/>
        <v>0</v>
      </c>
      <c r="K50" s="8">
        <f t="shared" si="17"/>
        <v>0</v>
      </c>
      <c r="L50" s="8">
        <f t="shared" si="17"/>
        <v>0</v>
      </c>
      <c r="M50" s="8">
        <f t="shared" si="17"/>
        <v>0</v>
      </c>
      <c r="N50" s="8">
        <f t="shared" si="17"/>
        <v>0</v>
      </c>
      <c r="O50" s="8">
        <f t="shared" si="17"/>
        <v>0</v>
      </c>
      <c r="P50" s="8">
        <f t="shared" si="17"/>
        <v>0</v>
      </c>
      <c r="Q50" s="8">
        <f t="shared" si="17"/>
        <v>0</v>
      </c>
      <c r="R50" s="8">
        <f t="shared" si="17"/>
        <v>0</v>
      </c>
      <c r="S50" s="8">
        <f t="shared" si="17"/>
        <v>0</v>
      </c>
    </row>
    <row r="51" spans="1:19" x14ac:dyDescent="0.2">
      <c r="A51" s="32" t="s">
        <v>47</v>
      </c>
    </row>
    <row r="52" spans="1:19" ht="36" x14ac:dyDescent="0.2">
      <c r="A52" s="62" t="s">
        <v>115</v>
      </c>
      <c r="E52" s="43">
        <v>0.02</v>
      </c>
      <c r="F52" s="65" t="s">
        <v>120</v>
      </c>
      <c r="G52" s="65"/>
      <c r="H52" s="65"/>
      <c r="I52" s="65"/>
    </row>
    <row r="53" spans="1:19" ht="27" x14ac:dyDescent="0.2">
      <c r="A53" s="1" t="s">
        <v>25</v>
      </c>
      <c r="B53" s="1"/>
      <c r="C53" s="1" t="s">
        <v>22</v>
      </c>
      <c r="D53" s="1" t="s">
        <v>23</v>
      </c>
      <c r="E53" s="1" t="s">
        <v>57</v>
      </c>
      <c r="F53" s="1">
        <v>2020</v>
      </c>
      <c r="G53" s="1">
        <v>2021</v>
      </c>
      <c r="H53" s="1">
        <v>2022</v>
      </c>
      <c r="I53" s="1">
        <v>2023</v>
      </c>
      <c r="J53" s="1">
        <v>2024</v>
      </c>
      <c r="K53" s="1">
        <v>2025</v>
      </c>
      <c r="L53" s="1">
        <v>2026</v>
      </c>
      <c r="M53" s="1">
        <v>2027</v>
      </c>
      <c r="N53" s="1">
        <v>2028</v>
      </c>
      <c r="O53" s="1">
        <v>2029</v>
      </c>
      <c r="P53" s="1">
        <v>2030</v>
      </c>
      <c r="Q53" s="1">
        <v>2031</v>
      </c>
      <c r="R53" s="1">
        <v>2032</v>
      </c>
      <c r="S53" s="1">
        <v>2033</v>
      </c>
    </row>
    <row r="54" spans="1:19" ht="13.5" x14ac:dyDescent="0.25">
      <c r="A54" s="17" t="s">
        <v>20</v>
      </c>
      <c r="B54" s="18"/>
      <c r="C54" s="19"/>
      <c r="D54" s="19"/>
      <c r="E54" s="20"/>
      <c r="F54" s="21"/>
      <c r="G54" s="21"/>
      <c r="H54" s="21">
        <v>6</v>
      </c>
      <c r="I54" s="21">
        <v>12</v>
      </c>
      <c r="J54" s="21">
        <v>12</v>
      </c>
      <c r="K54" s="21">
        <v>12</v>
      </c>
      <c r="L54" s="21">
        <v>12</v>
      </c>
      <c r="M54" s="21">
        <v>12</v>
      </c>
      <c r="N54" s="21">
        <v>12</v>
      </c>
      <c r="O54" s="21">
        <v>12</v>
      </c>
      <c r="P54" s="21">
        <v>12</v>
      </c>
      <c r="Q54" s="21">
        <v>12</v>
      </c>
      <c r="R54" s="21">
        <v>12</v>
      </c>
      <c r="S54" s="21">
        <v>1</v>
      </c>
    </row>
    <row r="55" spans="1:19" ht="13.5" x14ac:dyDescent="0.25">
      <c r="A55" s="2" t="s">
        <v>26</v>
      </c>
      <c r="B55" s="3"/>
      <c r="C55" s="16">
        <v>1200000</v>
      </c>
      <c r="D55" s="16"/>
      <c r="E55" s="20"/>
      <c r="F55" s="8"/>
      <c r="G55" s="8"/>
      <c r="H55" s="8">
        <f>C55</f>
        <v>1200000</v>
      </c>
      <c r="I55" s="8"/>
      <c r="J55" s="8"/>
      <c r="K55" s="8"/>
      <c r="L55" s="8"/>
      <c r="M55" s="8"/>
      <c r="N55" s="8"/>
      <c r="O55" s="8"/>
      <c r="P55" s="8"/>
      <c r="Q55" s="8"/>
      <c r="R55" s="8"/>
    </row>
    <row r="56" spans="1:19" ht="13.5" x14ac:dyDescent="0.25">
      <c r="A56" s="2" t="s">
        <v>50</v>
      </c>
      <c r="B56" s="3"/>
      <c r="C56" s="16"/>
      <c r="D56" s="16">
        <f>2*1500+2400</f>
        <v>5400</v>
      </c>
      <c r="E56" s="20"/>
      <c r="F56" s="8"/>
      <c r="G56" s="8"/>
      <c r="H56" s="8">
        <f>$D56*H$54</f>
        <v>32400</v>
      </c>
      <c r="I56" s="8">
        <f t="shared" ref="I56:S56" si="18">$D56*I$54</f>
        <v>64800</v>
      </c>
      <c r="J56" s="8">
        <f t="shared" si="18"/>
        <v>64800</v>
      </c>
      <c r="K56" s="8">
        <f t="shared" si="18"/>
        <v>64800</v>
      </c>
      <c r="L56" s="8">
        <f t="shared" si="18"/>
        <v>64800</v>
      </c>
      <c r="M56" s="8">
        <f t="shared" si="18"/>
        <v>64800</v>
      </c>
      <c r="N56" s="8">
        <f t="shared" si="18"/>
        <v>64800</v>
      </c>
      <c r="O56" s="8">
        <f t="shared" si="18"/>
        <v>64800</v>
      </c>
      <c r="P56" s="8">
        <f t="shared" si="18"/>
        <v>64800</v>
      </c>
      <c r="Q56" s="8">
        <f t="shared" si="18"/>
        <v>64800</v>
      </c>
      <c r="R56" s="8">
        <f t="shared" si="18"/>
        <v>64800</v>
      </c>
      <c r="S56" s="8">
        <f t="shared" si="18"/>
        <v>5400</v>
      </c>
    </row>
    <row r="57" spans="1:19" ht="13.5" x14ac:dyDescent="0.25">
      <c r="A57" s="2" t="s">
        <v>49</v>
      </c>
      <c r="B57" s="3"/>
      <c r="C57" s="16"/>
      <c r="D57" s="16">
        <f>SUM('[2]Palubné jednotky (alt.2)'!$G$6:$G$21)</f>
        <v>42878</v>
      </c>
      <c r="E57" s="6"/>
      <c r="F57" s="8"/>
      <c r="G57" s="8"/>
      <c r="H57" s="8">
        <f>$D57*H$54</f>
        <v>257268</v>
      </c>
      <c r="I57" s="8">
        <f t="shared" ref="I57:S58" si="19">$D57*I$54</f>
        <v>514536</v>
      </c>
      <c r="J57" s="8">
        <f t="shared" si="19"/>
        <v>514536</v>
      </c>
      <c r="K57" s="8">
        <f t="shared" si="19"/>
        <v>514536</v>
      </c>
      <c r="L57" s="8">
        <f t="shared" si="19"/>
        <v>514536</v>
      </c>
      <c r="M57" s="8">
        <f t="shared" si="19"/>
        <v>514536</v>
      </c>
      <c r="N57" s="8">
        <f t="shared" si="19"/>
        <v>514536</v>
      </c>
      <c r="O57" s="8">
        <f t="shared" si="19"/>
        <v>514536</v>
      </c>
      <c r="P57" s="8">
        <f t="shared" si="19"/>
        <v>514536</v>
      </c>
      <c r="Q57" s="8">
        <f t="shared" si="19"/>
        <v>514536</v>
      </c>
      <c r="R57" s="8">
        <f t="shared" si="19"/>
        <v>514536</v>
      </c>
      <c r="S57" s="8">
        <f t="shared" si="19"/>
        <v>42878</v>
      </c>
    </row>
    <row r="58" spans="1:19" ht="13.5" x14ac:dyDescent="0.25">
      <c r="A58" s="2" t="s">
        <v>41</v>
      </c>
      <c r="B58" s="3"/>
      <c r="C58" s="16"/>
      <c r="D58" s="16">
        <v>1540</v>
      </c>
      <c r="E58" s="6"/>
      <c r="F58" s="8"/>
      <c r="G58" s="8"/>
      <c r="H58" s="8">
        <f>$D58*H$54</f>
        <v>9240</v>
      </c>
      <c r="I58" s="8">
        <f t="shared" si="19"/>
        <v>18480</v>
      </c>
      <c r="J58" s="8">
        <f t="shared" si="19"/>
        <v>18480</v>
      </c>
      <c r="K58" s="8">
        <f t="shared" si="19"/>
        <v>18480</v>
      </c>
      <c r="L58" s="8">
        <f t="shared" si="19"/>
        <v>18480</v>
      </c>
      <c r="M58" s="8">
        <f t="shared" si="19"/>
        <v>18480</v>
      </c>
      <c r="N58" s="8">
        <f t="shared" si="19"/>
        <v>18480</v>
      </c>
      <c r="O58" s="8">
        <f t="shared" si="19"/>
        <v>18480</v>
      </c>
      <c r="P58" s="8">
        <f t="shared" si="19"/>
        <v>18480</v>
      </c>
      <c r="Q58" s="8">
        <f t="shared" si="19"/>
        <v>18480</v>
      </c>
      <c r="R58" s="8">
        <f t="shared" si="19"/>
        <v>18480</v>
      </c>
      <c r="S58" s="8">
        <f t="shared" si="19"/>
        <v>1540</v>
      </c>
    </row>
    <row r="59" spans="1:19" ht="13.5" x14ac:dyDescent="0.25">
      <c r="A59" s="2" t="s">
        <v>58</v>
      </c>
      <c r="B59" s="3"/>
      <c r="C59" s="16"/>
      <c r="D59" s="16"/>
      <c r="E59" s="6">
        <f>C55*E52</f>
        <v>24000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>
        <f>E59</f>
        <v>24000</v>
      </c>
    </row>
    <row r="60" spans="1:19" ht="13.5" x14ac:dyDescent="0.2">
      <c r="A60" s="9"/>
      <c r="B60" s="10"/>
      <c r="C60" s="10"/>
      <c r="D60" s="10"/>
      <c r="E60" s="11"/>
      <c r="F60" s="11">
        <f t="shared" ref="F60:G60" si="20">SUM(F55:F59)</f>
        <v>0</v>
      </c>
      <c r="G60" s="11">
        <f t="shared" si="20"/>
        <v>0</v>
      </c>
      <c r="H60" s="11">
        <f>SUM(H55:H59)</f>
        <v>1498908</v>
      </c>
      <c r="I60" s="11">
        <f t="shared" ref="I60:S60" si="21">SUM(I55:I59)</f>
        <v>597816</v>
      </c>
      <c r="J60" s="11">
        <f t="shared" si="21"/>
        <v>597816</v>
      </c>
      <c r="K60" s="11">
        <f t="shared" si="21"/>
        <v>597816</v>
      </c>
      <c r="L60" s="11">
        <f t="shared" si="21"/>
        <v>597816</v>
      </c>
      <c r="M60" s="11">
        <f t="shared" si="21"/>
        <v>597816</v>
      </c>
      <c r="N60" s="11">
        <f t="shared" si="21"/>
        <v>597816</v>
      </c>
      <c r="O60" s="11">
        <f t="shared" si="21"/>
        <v>597816</v>
      </c>
      <c r="P60" s="11">
        <f t="shared" si="21"/>
        <v>597816</v>
      </c>
      <c r="Q60" s="11">
        <f t="shared" si="21"/>
        <v>597816</v>
      </c>
      <c r="R60" s="11">
        <f t="shared" si="21"/>
        <v>597816</v>
      </c>
      <c r="S60" s="11">
        <f t="shared" si="21"/>
        <v>73818</v>
      </c>
    </row>
    <row r="61" spans="1:19" x14ac:dyDescent="0.2">
      <c r="A61" s="32" t="s">
        <v>48</v>
      </c>
    </row>
    <row r="63" spans="1:19" ht="24" x14ac:dyDescent="0.2">
      <c r="A63" s="62" t="s">
        <v>121</v>
      </c>
    </row>
    <row r="64" spans="1:19" ht="13.5" x14ac:dyDescent="0.2">
      <c r="A64" s="1" t="s">
        <v>34</v>
      </c>
      <c r="B64" s="1"/>
      <c r="C64" s="1"/>
      <c r="D64" s="1"/>
      <c r="E64" s="1"/>
      <c r="F64" s="1">
        <v>2020</v>
      </c>
      <c r="G64" s="1">
        <v>2021</v>
      </c>
      <c r="H64" s="1">
        <v>2022</v>
      </c>
      <c r="I64" s="1">
        <v>2023</v>
      </c>
      <c r="J64" s="1">
        <v>2024</v>
      </c>
      <c r="K64" s="1">
        <v>2025</v>
      </c>
      <c r="L64" s="1">
        <v>2026</v>
      </c>
      <c r="M64" s="1">
        <v>2027</v>
      </c>
      <c r="N64" s="1">
        <v>2028</v>
      </c>
      <c r="O64" s="1">
        <v>2029</v>
      </c>
      <c r="P64" s="1">
        <v>2030</v>
      </c>
      <c r="Q64" s="1">
        <v>2031</v>
      </c>
      <c r="R64" s="1">
        <v>2032</v>
      </c>
      <c r="S64" s="1">
        <v>2033</v>
      </c>
    </row>
    <row r="65" spans="1:19" ht="13.5" x14ac:dyDescent="0.25">
      <c r="A65" s="24" t="s">
        <v>27</v>
      </c>
      <c r="B65" s="3"/>
      <c r="C65" s="16"/>
      <c r="D65" s="1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</row>
    <row r="66" spans="1:19" ht="13.5" x14ac:dyDescent="0.25">
      <c r="A66" s="2" t="s">
        <v>37</v>
      </c>
      <c r="B66" s="3"/>
      <c r="C66" s="16"/>
      <c r="D66" s="16"/>
      <c r="E66" s="6"/>
      <c r="F66" s="8"/>
      <c r="G66" s="8"/>
      <c r="H66" s="8">
        <f>H28</f>
        <v>4353900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 ht="13.5" x14ac:dyDescent="0.25">
      <c r="A67" s="2" t="s">
        <v>21</v>
      </c>
      <c r="B67" s="3"/>
      <c r="C67" s="16"/>
      <c r="D67" s="16"/>
      <c r="E67" s="6"/>
      <c r="F67" s="8"/>
      <c r="G67" s="8"/>
      <c r="H67" s="8">
        <f>H45</f>
        <v>35700000</v>
      </c>
      <c r="I67" s="8">
        <f t="shared" ref="I67:Q67" si="22">I45</f>
        <v>0</v>
      </c>
      <c r="J67" s="8">
        <f t="shared" si="22"/>
        <v>0</v>
      </c>
      <c r="K67" s="8">
        <f t="shared" si="22"/>
        <v>0</v>
      </c>
      <c r="L67" s="8">
        <f t="shared" si="22"/>
        <v>0</v>
      </c>
      <c r="M67" s="8">
        <f t="shared" si="22"/>
        <v>0</v>
      </c>
      <c r="N67" s="8">
        <f t="shared" si="22"/>
        <v>0</v>
      </c>
      <c r="O67" s="8">
        <f t="shared" si="22"/>
        <v>0</v>
      </c>
      <c r="P67" s="8">
        <f t="shared" si="22"/>
        <v>0</v>
      </c>
      <c r="Q67" s="8">
        <f t="shared" si="22"/>
        <v>0</v>
      </c>
      <c r="R67" s="8">
        <f>R46</f>
        <v>0</v>
      </c>
      <c r="S67" s="8">
        <f>S46</f>
        <v>0</v>
      </c>
    </row>
    <row r="68" spans="1:19" ht="13.5" x14ac:dyDescent="0.25">
      <c r="A68" s="2" t="s">
        <v>29</v>
      </c>
      <c r="B68" s="3"/>
      <c r="C68" s="16"/>
      <c r="D68" s="16"/>
      <c r="E68" s="6"/>
      <c r="F68" s="8"/>
      <c r="G68" s="8"/>
      <c r="H68" s="8">
        <f t="shared" ref="H68:S68" si="23">H55</f>
        <v>1200000</v>
      </c>
      <c r="I68" s="8">
        <f t="shared" si="23"/>
        <v>0</v>
      </c>
      <c r="J68" s="8">
        <f t="shared" si="23"/>
        <v>0</v>
      </c>
      <c r="K68" s="8">
        <f t="shared" si="23"/>
        <v>0</v>
      </c>
      <c r="L68" s="8">
        <f t="shared" si="23"/>
        <v>0</v>
      </c>
      <c r="M68" s="8">
        <f t="shared" si="23"/>
        <v>0</v>
      </c>
      <c r="N68" s="8">
        <f t="shared" si="23"/>
        <v>0</v>
      </c>
      <c r="O68" s="8">
        <f t="shared" si="23"/>
        <v>0</v>
      </c>
      <c r="P68" s="8">
        <f t="shared" si="23"/>
        <v>0</v>
      </c>
      <c r="Q68" s="8">
        <f t="shared" si="23"/>
        <v>0</v>
      </c>
      <c r="R68" s="8">
        <f t="shared" si="23"/>
        <v>0</v>
      </c>
      <c r="S68" s="8">
        <f t="shared" si="23"/>
        <v>0</v>
      </c>
    </row>
    <row r="69" spans="1:19" s="29" customFormat="1" ht="13.5" x14ac:dyDescent="0.25">
      <c r="A69" s="23" t="s">
        <v>30</v>
      </c>
      <c r="B69" s="25"/>
      <c r="C69" s="26"/>
      <c r="D69" s="26"/>
      <c r="E69" s="27"/>
      <c r="F69" s="28"/>
      <c r="G69" s="28"/>
      <c r="H69" s="28">
        <f>SUM(H66:H68)</f>
        <v>41253900</v>
      </c>
      <c r="I69" s="28">
        <f t="shared" ref="I69:S69" si="24">SUM(I66:I68)</f>
        <v>0</v>
      </c>
      <c r="J69" s="28">
        <f t="shared" si="24"/>
        <v>0</v>
      </c>
      <c r="K69" s="28">
        <f t="shared" si="24"/>
        <v>0</v>
      </c>
      <c r="L69" s="28">
        <f t="shared" si="24"/>
        <v>0</v>
      </c>
      <c r="M69" s="28">
        <f t="shared" si="24"/>
        <v>0</v>
      </c>
      <c r="N69" s="28">
        <f t="shared" si="24"/>
        <v>0</v>
      </c>
      <c r="O69" s="28">
        <f t="shared" si="24"/>
        <v>0</v>
      </c>
      <c r="P69" s="28">
        <f t="shared" si="24"/>
        <v>0</v>
      </c>
      <c r="Q69" s="28">
        <f t="shared" si="24"/>
        <v>0</v>
      </c>
      <c r="R69" s="28">
        <f t="shared" si="24"/>
        <v>0</v>
      </c>
      <c r="S69" s="28">
        <f t="shared" si="24"/>
        <v>0</v>
      </c>
    </row>
    <row r="70" spans="1:19" ht="13.5" x14ac:dyDescent="0.25">
      <c r="A70" s="2"/>
      <c r="B70" s="3"/>
      <c r="C70" s="16"/>
      <c r="D70" s="16"/>
      <c r="E70" s="6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</row>
    <row r="71" spans="1:19" ht="13.5" x14ac:dyDescent="0.25">
      <c r="A71" s="24" t="s">
        <v>31</v>
      </c>
      <c r="B71" s="3"/>
      <c r="C71" s="16"/>
      <c r="D71" s="1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</row>
    <row r="72" spans="1:19" ht="13.5" x14ac:dyDescent="0.25">
      <c r="A72" s="2" t="s">
        <v>81</v>
      </c>
      <c r="B72" s="3"/>
      <c r="C72" s="16"/>
      <c r="D72" s="16"/>
      <c r="E72" s="6"/>
      <c r="F72" s="8"/>
      <c r="G72" s="8"/>
      <c r="H72" s="8">
        <f>H36</f>
        <v>63000</v>
      </c>
      <c r="I72" s="8">
        <f>I36+I28</f>
        <v>239850</v>
      </c>
      <c r="J72" s="8">
        <f t="shared" ref="J72:R72" si="25">J36+J28</f>
        <v>153600</v>
      </c>
      <c r="K72" s="8">
        <f t="shared" si="25"/>
        <v>212250</v>
      </c>
      <c r="L72" s="8">
        <f t="shared" si="25"/>
        <v>219150</v>
      </c>
      <c r="M72" s="8">
        <f t="shared" si="25"/>
        <v>260550</v>
      </c>
      <c r="N72" s="8">
        <f t="shared" si="25"/>
        <v>219150</v>
      </c>
      <c r="O72" s="8">
        <f t="shared" si="25"/>
        <v>526200</v>
      </c>
      <c r="P72" s="8">
        <f t="shared" si="25"/>
        <v>246750</v>
      </c>
      <c r="Q72" s="8">
        <f t="shared" si="25"/>
        <v>426150</v>
      </c>
      <c r="R72" s="8">
        <f t="shared" si="25"/>
        <v>157050</v>
      </c>
      <c r="S72" s="8">
        <f t="shared" ref="S72" si="26">S36+S28</f>
        <v>0</v>
      </c>
    </row>
    <row r="73" spans="1:19" ht="13.5" x14ac:dyDescent="0.25">
      <c r="A73" s="2" t="s">
        <v>21</v>
      </c>
      <c r="B73" s="3"/>
      <c r="C73" s="16"/>
      <c r="D73" s="16"/>
      <c r="E73" s="6"/>
      <c r="F73" s="8"/>
      <c r="G73" s="8"/>
      <c r="H73" s="8">
        <f>SUM(H46:H48)</f>
        <v>1512000</v>
      </c>
      <c r="I73" s="8">
        <f t="shared" ref="I73:S73" si="27">SUM(I46:I48)</f>
        <v>8428000</v>
      </c>
      <c r="J73" s="8">
        <f t="shared" si="27"/>
        <v>8428000</v>
      </c>
      <c r="K73" s="8">
        <f t="shared" si="27"/>
        <v>8428000</v>
      </c>
      <c r="L73" s="8">
        <f t="shared" si="27"/>
        <v>8428000</v>
      </c>
      <c r="M73" s="8">
        <f t="shared" si="27"/>
        <v>8428000</v>
      </c>
      <c r="N73" s="8">
        <f t="shared" si="27"/>
        <v>8428000</v>
      </c>
      <c r="O73" s="8">
        <f t="shared" si="27"/>
        <v>8428000</v>
      </c>
      <c r="P73" s="8">
        <f t="shared" si="27"/>
        <v>8428000</v>
      </c>
      <c r="Q73" s="8">
        <f t="shared" si="27"/>
        <v>8428000</v>
      </c>
      <c r="R73" s="8">
        <f t="shared" si="27"/>
        <v>6048000</v>
      </c>
      <c r="S73" s="8">
        <f t="shared" si="27"/>
        <v>1904000</v>
      </c>
    </row>
    <row r="74" spans="1:19" ht="13.5" x14ac:dyDescent="0.25">
      <c r="A74" s="2" t="s">
        <v>29</v>
      </c>
      <c r="B74" s="3"/>
      <c r="C74" s="16"/>
      <c r="D74" s="16"/>
      <c r="E74" s="6"/>
      <c r="F74" s="8"/>
      <c r="G74" s="8"/>
      <c r="H74" s="8">
        <f>SUM(H56:H59)</f>
        <v>298908</v>
      </c>
      <c r="I74" s="8">
        <f t="shared" ref="I74:S74" si="28">SUM(I56:I59)</f>
        <v>597816</v>
      </c>
      <c r="J74" s="8">
        <f t="shared" si="28"/>
        <v>597816</v>
      </c>
      <c r="K74" s="8">
        <f t="shared" si="28"/>
        <v>597816</v>
      </c>
      <c r="L74" s="8">
        <f t="shared" si="28"/>
        <v>597816</v>
      </c>
      <c r="M74" s="8">
        <f t="shared" si="28"/>
        <v>597816</v>
      </c>
      <c r="N74" s="8">
        <f t="shared" si="28"/>
        <v>597816</v>
      </c>
      <c r="O74" s="8">
        <f t="shared" si="28"/>
        <v>597816</v>
      </c>
      <c r="P74" s="8">
        <f t="shared" si="28"/>
        <v>597816</v>
      </c>
      <c r="Q74" s="8">
        <f t="shared" si="28"/>
        <v>597816</v>
      </c>
      <c r="R74" s="8">
        <f t="shared" si="28"/>
        <v>597816</v>
      </c>
      <c r="S74" s="8">
        <f t="shared" si="28"/>
        <v>73818</v>
      </c>
    </row>
    <row r="75" spans="1:19" ht="13.5" x14ac:dyDescent="0.25">
      <c r="A75" s="23" t="s">
        <v>32</v>
      </c>
      <c r="B75" s="3"/>
      <c r="C75" s="16"/>
      <c r="D75" s="16"/>
      <c r="E75" s="6"/>
      <c r="F75" s="8"/>
      <c r="G75" s="8"/>
      <c r="H75" s="28">
        <f>SUM(H72:H74)</f>
        <v>1873908</v>
      </c>
      <c r="I75" s="28">
        <f t="shared" ref="I75:S75" si="29">SUM(I72:I74)</f>
        <v>9265666</v>
      </c>
      <c r="J75" s="28">
        <f t="shared" si="29"/>
        <v>9179416</v>
      </c>
      <c r="K75" s="28">
        <f t="shared" si="29"/>
        <v>9238066</v>
      </c>
      <c r="L75" s="28">
        <f t="shared" si="29"/>
        <v>9244966</v>
      </c>
      <c r="M75" s="28">
        <f t="shared" si="29"/>
        <v>9286366</v>
      </c>
      <c r="N75" s="28">
        <f t="shared" si="29"/>
        <v>9244966</v>
      </c>
      <c r="O75" s="28">
        <f t="shared" si="29"/>
        <v>9552016</v>
      </c>
      <c r="P75" s="28">
        <f t="shared" si="29"/>
        <v>9272566</v>
      </c>
      <c r="Q75" s="28">
        <f t="shared" si="29"/>
        <v>9451966</v>
      </c>
      <c r="R75" s="28">
        <f t="shared" si="29"/>
        <v>6802866</v>
      </c>
      <c r="S75" s="28">
        <f t="shared" si="29"/>
        <v>1977818</v>
      </c>
    </row>
    <row r="76" spans="1:19" ht="13.5" x14ac:dyDescent="0.2">
      <c r="A76" s="9" t="s">
        <v>33</v>
      </c>
      <c r="B76" s="10"/>
      <c r="C76" s="10"/>
      <c r="D76" s="10"/>
      <c r="E76" s="11"/>
      <c r="F76" s="11">
        <f t="shared" ref="F76:G76" si="30">SUM(F69,F75)</f>
        <v>0</v>
      </c>
      <c r="G76" s="11">
        <f t="shared" si="30"/>
        <v>0</v>
      </c>
      <c r="H76" s="11">
        <f>SUM(H69,H75)</f>
        <v>43127808</v>
      </c>
      <c r="I76" s="11">
        <f t="shared" ref="I76:S76" si="31">SUM(I69,I75)</f>
        <v>9265666</v>
      </c>
      <c r="J76" s="11">
        <f t="shared" si="31"/>
        <v>9179416</v>
      </c>
      <c r="K76" s="11">
        <f t="shared" si="31"/>
        <v>9238066</v>
      </c>
      <c r="L76" s="11">
        <f t="shared" si="31"/>
        <v>9244966</v>
      </c>
      <c r="M76" s="11">
        <f t="shared" si="31"/>
        <v>9286366</v>
      </c>
      <c r="N76" s="11">
        <f t="shared" si="31"/>
        <v>9244966</v>
      </c>
      <c r="O76" s="11">
        <f t="shared" si="31"/>
        <v>9552016</v>
      </c>
      <c r="P76" s="11">
        <f t="shared" si="31"/>
        <v>9272566</v>
      </c>
      <c r="Q76" s="11">
        <f t="shared" si="31"/>
        <v>9451966</v>
      </c>
      <c r="R76" s="11">
        <f t="shared" si="31"/>
        <v>6802866</v>
      </c>
      <c r="S76" s="11">
        <f t="shared" si="31"/>
        <v>1977818</v>
      </c>
    </row>
    <row r="77" spans="1:19" ht="13.5" x14ac:dyDescent="0.25">
      <c r="A77" s="2" t="s">
        <v>82</v>
      </c>
      <c r="B77" s="3"/>
      <c r="C77" s="16"/>
      <c r="D77" s="16"/>
      <c r="E77" s="63">
        <v>0.04</v>
      </c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</row>
    <row r="78" spans="1:19" s="29" customFormat="1" ht="13.5" x14ac:dyDescent="0.2">
      <c r="A78" s="38" t="s">
        <v>84</v>
      </c>
      <c r="B78" s="39"/>
      <c r="C78" s="39"/>
      <c r="D78" s="39"/>
      <c r="E78" s="40"/>
      <c r="F78" s="40">
        <f t="shared" ref="F78:G78" si="32">F76/((1+$E$77)^(F64-$F$64))</f>
        <v>0</v>
      </c>
      <c r="G78" s="40">
        <f t="shared" si="32"/>
        <v>0</v>
      </c>
      <c r="H78" s="40">
        <f>H76/((1+$E$77)^(H64-$F$64))</f>
        <v>39874082.840236679</v>
      </c>
      <c r="I78" s="40">
        <f t="shared" ref="I78:S78" si="33">I76/((1+$E$77)^(I64-$F$64))</f>
        <v>8237143.3346609008</v>
      </c>
      <c r="J78" s="40">
        <f t="shared" si="33"/>
        <v>7846603.2680053208</v>
      </c>
      <c r="K78" s="40">
        <f t="shared" si="33"/>
        <v>7593016.8594319355</v>
      </c>
      <c r="L78" s="40">
        <f t="shared" si="33"/>
        <v>7306430.9196813218</v>
      </c>
      <c r="M78" s="40">
        <f t="shared" si="33"/>
        <v>7056874.9433139917</v>
      </c>
      <c r="N78" s="40">
        <f t="shared" si="33"/>
        <v>6755206.1017763698</v>
      </c>
      <c r="O78" s="40">
        <f t="shared" si="33"/>
        <v>6711119.7396367583</v>
      </c>
      <c r="P78" s="40">
        <f t="shared" si="33"/>
        <v>6264213.3426723592</v>
      </c>
      <c r="Q78" s="40">
        <f t="shared" si="33"/>
        <v>6139816.8793843351</v>
      </c>
      <c r="R78" s="40">
        <f t="shared" si="33"/>
        <v>4249050.0322885392</v>
      </c>
      <c r="S78" s="40">
        <f t="shared" si="33"/>
        <v>1187826.2378907166</v>
      </c>
    </row>
    <row r="79" spans="1:19" x14ac:dyDescent="0.2">
      <c r="A79" s="32" t="s">
        <v>51</v>
      </c>
    </row>
    <row r="80" spans="1:19" x14ac:dyDescent="0.2">
      <c r="A80" s="32"/>
    </row>
    <row r="81" spans="1:19" ht="13.5" x14ac:dyDescent="0.25">
      <c r="A81" s="2" t="s">
        <v>86</v>
      </c>
      <c r="B81" s="3"/>
      <c r="C81" s="16"/>
      <c r="D81" s="16"/>
      <c r="E81" s="6"/>
      <c r="F81" s="8">
        <f>F69/((1+$E$89)^(F$76-$F$76))</f>
        <v>0</v>
      </c>
      <c r="G81" s="8">
        <f>G69/((1+$E$89)^(G$76-$F$76))</f>
        <v>0</v>
      </c>
      <c r="H81" s="8">
        <f>H69/((1+$E$77)^(H$64-$F$64))</f>
        <v>38141549.556213014</v>
      </c>
      <c r="I81" s="8">
        <f t="shared" ref="I81:S81" si="34">I69/((1+$E$77)^(I$64-$F$64))</f>
        <v>0</v>
      </c>
      <c r="J81" s="8">
        <f t="shared" si="34"/>
        <v>0</v>
      </c>
      <c r="K81" s="8">
        <f t="shared" si="34"/>
        <v>0</v>
      </c>
      <c r="L81" s="8">
        <f t="shared" si="34"/>
        <v>0</v>
      </c>
      <c r="M81" s="8">
        <f t="shared" si="34"/>
        <v>0</v>
      </c>
      <c r="N81" s="8">
        <f t="shared" si="34"/>
        <v>0</v>
      </c>
      <c r="O81" s="8">
        <f t="shared" si="34"/>
        <v>0</v>
      </c>
      <c r="P81" s="8">
        <f t="shared" si="34"/>
        <v>0</v>
      </c>
      <c r="Q81" s="8">
        <f t="shared" si="34"/>
        <v>0</v>
      </c>
      <c r="R81" s="8">
        <f t="shared" si="34"/>
        <v>0</v>
      </c>
      <c r="S81" s="8">
        <f t="shared" si="34"/>
        <v>0</v>
      </c>
    </row>
    <row r="82" spans="1:19" ht="13.5" x14ac:dyDescent="0.25">
      <c r="A82" s="2" t="s">
        <v>87</v>
      </c>
      <c r="B82" s="3"/>
      <c r="C82" s="16"/>
      <c r="D82" s="16"/>
      <c r="E82" s="6"/>
      <c r="F82" s="8">
        <f>F75/((1+$E$89)^(F$76-$F$76))</f>
        <v>0</v>
      </c>
      <c r="G82" s="8">
        <f>G75/((1+$E$89)^(G$76-$F$76))</f>
        <v>0</v>
      </c>
      <c r="H82" s="8">
        <f>H75/((1+$E$77)^(H$64-$F$64))</f>
        <v>1732533.2840236684</v>
      </c>
      <c r="I82" s="8">
        <f t="shared" ref="I82:S82" si="35">I75/((1+$E$77)^(I$64-$F$64))</f>
        <v>8237143.3346609008</v>
      </c>
      <c r="J82" s="8">
        <f t="shared" si="35"/>
        <v>7846603.2680053208</v>
      </c>
      <c r="K82" s="8">
        <f t="shared" si="35"/>
        <v>7593016.8594319355</v>
      </c>
      <c r="L82" s="8">
        <f t="shared" si="35"/>
        <v>7306430.9196813218</v>
      </c>
      <c r="M82" s="8">
        <f t="shared" si="35"/>
        <v>7056874.9433139917</v>
      </c>
      <c r="N82" s="8">
        <f t="shared" si="35"/>
        <v>6755206.1017763698</v>
      </c>
      <c r="O82" s="8">
        <f t="shared" si="35"/>
        <v>6711119.7396367583</v>
      </c>
      <c r="P82" s="8">
        <f t="shared" si="35"/>
        <v>6264213.3426723592</v>
      </c>
      <c r="Q82" s="8">
        <f t="shared" si="35"/>
        <v>6139816.8793843351</v>
      </c>
      <c r="R82" s="8">
        <f t="shared" si="35"/>
        <v>4249050.0322885392</v>
      </c>
      <c r="S82" s="8">
        <f t="shared" si="35"/>
        <v>1187826.2378907166</v>
      </c>
    </row>
    <row r="83" spans="1:19" x14ac:dyDescent="0.2">
      <c r="A83" s="32"/>
    </row>
    <row r="84" spans="1:19" x14ac:dyDescent="0.2">
      <c r="A84" s="32"/>
    </row>
    <row r="85" spans="1:19" ht="18" thickBot="1" x14ac:dyDescent="0.35">
      <c r="A85" s="64" t="s">
        <v>42</v>
      </c>
      <c r="B85" s="64"/>
      <c r="C85" s="64"/>
      <c r="D85" s="64"/>
      <c r="E85" s="64"/>
    </row>
    <row r="86" spans="1:19" ht="36.75" thickTop="1" x14ac:dyDescent="0.2">
      <c r="A86" s="62" t="s">
        <v>122</v>
      </c>
    </row>
    <row r="87" spans="1:19" ht="81" x14ac:dyDescent="0.2">
      <c r="A87" s="1" t="s">
        <v>55</v>
      </c>
      <c r="B87" s="1" t="s">
        <v>85</v>
      </c>
      <c r="C87" s="1" t="s">
        <v>90</v>
      </c>
      <c r="D87" s="1" t="s">
        <v>88</v>
      </c>
      <c r="E87" s="1" t="s">
        <v>89</v>
      </c>
    </row>
    <row r="88" spans="1:19" ht="13.5" x14ac:dyDescent="0.25">
      <c r="A88" s="2" t="s">
        <v>43</v>
      </c>
      <c r="B88" s="8">
        <f>SUM(DSRC!H90:'DSRC'!S90)</f>
        <v>237128717.0298585</v>
      </c>
      <c r="C88" s="42">
        <f>B88/B$89</f>
        <v>2.171083237203193</v>
      </c>
      <c r="D88" s="55">
        <f>SUM(DSRC!H$93:S$93)</f>
        <v>47631470.797299147</v>
      </c>
      <c r="E88" s="55">
        <f>SUM(DSRC!H$94:S$94)</f>
        <v>189497246.23255935</v>
      </c>
    </row>
    <row r="89" spans="1:19" ht="13.5" x14ac:dyDescent="0.25">
      <c r="A89" s="2" t="s">
        <v>74</v>
      </c>
      <c r="B89" s="8">
        <f>SUM(H78:S78)</f>
        <v>109221384.49897924</v>
      </c>
      <c r="C89" s="42">
        <f>B89/B$89</f>
        <v>1</v>
      </c>
      <c r="D89" s="55">
        <f>SUM(H$81:S$81)</f>
        <v>38141549.556213014</v>
      </c>
      <c r="E89" s="55">
        <f>SUM(H$82:S$82)</f>
        <v>71079834.942766219</v>
      </c>
    </row>
    <row r="93" spans="1:19" ht="18" thickBot="1" x14ac:dyDescent="0.35">
      <c r="A93" s="64" t="s">
        <v>71</v>
      </c>
      <c r="B93" s="64"/>
      <c r="C93" s="64"/>
      <c r="D93" s="64"/>
      <c r="E93" s="64"/>
    </row>
    <row r="94" spans="1:19" ht="13.5" thickTop="1" x14ac:dyDescent="0.2"/>
    <row r="95" spans="1:19" ht="27" x14ac:dyDescent="0.2">
      <c r="A95" s="1" t="s">
        <v>55</v>
      </c>
      <c r="B95" s="1" t="s">
        <v>66</v>
      </c>
      <c r="C95" s="1" t="s">
        <v>54</v>
      </c>
      <c r="D95" s="1" t="s">
        <v>64</v>
      </c>
      <c r="E95" s="1" t="s">
        <v>65</v>
      </c>
    </row>
    <row r="96" spans="1:19" ht="13.5" x14ac:dyDescent="0.25">
      <c r="A96" s="2" t="s">
        <v>43</v>
      </c>
      <c r="B96" s="8">
        <f>SUM(DSRC!H88:L88,DSRC!S88)</f>
        <v>149228331.59999999</v>
      </c>
      <c r="C96" s="42">
        <f>B96/B$97</f>
        <v>1.8191092055537148</v>
      </c>
      <c r="D96" s="55">
        <f>SUM(DSRC!H$81:L$81)</f>
        <v>45889344</v>
      </c>
      <c r="E96" s="55">
        <f>SUM(DSRC!H$87:L$87)</f>
        <v>99456832</v>
      </c>
    </row>
    <row r="97" spans="1:9" ht="13.5" x14ac:dyDescent="0.25">
      <c r="A97" s="2" t="s">
        <v>74</v>
      </c>
      <c r="B97" s="8">
        <f>SUM(H76:L76,S76)</f>
        <v>82033740</v>
      </c>
      <c r="C97" s="42">
        <f>B97/B$97</f>
        <v>1</v>
      </c>
      <c r="D97" s="55">
        <f>SUM(H$69:L$69)</f>
        <v>41253900</v>
      </c>
      <c r="E97" s="55">
        <f>SUM(H$75:L$75)</f>
        <v>38802022</v>
      </c>
    </row>
    <row r="100" spans="1:9" x14ac:dyDescent="0.2">
      <c r="I100" s="69"/>
    </row>
    <row r="101" spans="1:9" ht="18" thickBot="1" x14ac:dyDescent="0.35">
      <c r="A101" s="64" t="s">
        <v>72</v>
      </c>
      <c r="B101" s="64"/>
      <c r="C101" s="64"/>
      <c r="D101" s="64"/>
      <c r="E101" s="64"/>
      <c r="I101" s="69"/>
    </row>
    <row r="102" spans="1:9" ht="13.5" thickTop="1" x14ac:dyDescent="0.2"/>
    <row r="103" spans="1:9" ht="40.5" x14ac:dyDescent="0.2">
      <c r="A103" s="1" t="s">
        <v>75</v>
      </c>
      <c r="B103" s="1" t="s">
        <v>94</v>
      </c>
      <c r="C103" s="1" t="s">
        <v>95</v>
      </c>
      <c r="D103" s="1" t="s">
        <v>98</v>
      </c>
      <c r="E103" s="1" t="s">
        <v>73</v>
      </c>
    </row>
    <row r="104" spans="1:9" ht="13.5" x14ac:dyDescent="0.25">
      <c r="A104" s="2" t="s">
        <v>96</v>
      </c>
      <c r="B104" s="67">
        <v>85</v>
      </c>
      <c r="C104" s="59">
        <v>60</v>
      </c>
      <c r="D104" s="58">
        <v>0.12</v>
      </c>
      <c r="E104" s="57">
        <f t="shared" ref="E104:E105" si="36">B104/C104*(1+D104)</f>
        <v>1.5866666666666669</v>
      </c>
    </row>
    <row r="105" spans="1:9" ht="13.5" x14ac:dyDescent="0.25">
      <c r="A105" s="2" t="s">
        <v>93</v>
      </c>
      <c r="B105" s="67">
        <v>0.65</v>
      </c>
      <c r="C105" s="59">
        <v>1</v>
      </c>
      <c r="D105" s="58">
        <v>0.12</v>
      </c>
      <c r="E105" s="57">
        <f t="shared" si="36"/>
        <v>0.72800000000000009</v>
      </c>
    </row>
    <row r="106" spans="1:9" ht="13.5" x14ac:dyDescent="0.25">
      <c r="A106" s="2" t="s">
        <v>76</v>
      </c>
      <c r="B106" s="67">
        <f>SUM(H60:S60)/SUMPRODUCT(H41:R41,H44:R44)</f>
        <v>0.21924756097560977</v>
      </c>
      <c r="C106" s="59">
        <v>1</v>
      </c>
      <c r="D106" s="58">
        <v>0.12</v>
      </c>
      <c r="E106" s="57">
        <f t="shared" ref="E106" si="37">B106/C106*(1+D106)</f>
        <v>0.24555726829268296</v>
      </c>
    </row>
    <row r="107" spans="1:9" ht="13.5" x14ac:dyDescent="0.25">
      <c r="A107" s="2" t="s">
        <v>97</v>
      </c>
      <c r="B107" s="8"/>
      <c r="C107" s="59"/>
      <c r="D107" s="58"/>
      <c r="E107" s="70">
        <f>ROUND(SUM(E104:E106),1)</f>
        <v>2.6</v>
      </c>
    </row>
    <row r="109" spans="1:9" x14ac:dyDescent="0.2">
      <c r="E109" s="68"/>
    </row>
  </sheetData>
  <mergeCells count="10">
    <mergeCell ref="A2:E2"/>
    <mergeCell ref="A85:E85"/>
    <mergeCell ref="A93:E93"/>
    <mergeCell ref="A101:E101"/>
    <mergeCell ref="F39:I39"/>
    <mergeCell ref="H13:K13"/>
    <mergeCell ref="F22:I22"/>
    <mergeCell ref="F31:I31"/>
    <mergeCell ref="K39:N39"/>
    <mergeCell ref="F52:I5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80"/>
  <sheetViews>
    <sheetView topLeftCell="A49" workbookViewId="0">
      <selection activeCell="K83" sqref="K83"/>
    </sheetView>
  </sheetViews>
  <sheetFormatPr defaultRowHeight="12.75" x14ac:dyDescent="0.2"/>
  <cols>
    <col min="1" max="1" width="44" customWidth="1"/>
    <col min="2" max="2" width="17" customWidth="1"/>
    <col min="3" max="3" width="9.42578125" bestFit="1" customWidth="1"/>
    <col min="4" max="4" width="15.85546875" customWidth="1"/>
    <col min="5" max="5" width="15" customWidth="1"/>
    <col min="8" max="8" width="10" customWidth="1"/>
  </cols>
  <sheetData>
    <row r="2" spans="1:18" ht="18" thickBot="1" x14ac:dyDescent="0.35">
      <c r="A2" s="64" t="s">
        <v>77</v>
      </c>
      <c r="B2" s="64"/>
      <c r="C2" s="64"/>
      <c r="D2" s="64"/>
      <c r="E2" s="64"/>
    </row>
    <row r="3" spans="1:18" ht="16.5" thickTop="1" thickBot="1" x14ac:dyDescent="0.3">
      <c r="A3" s="61" t="s">
        <v>79</v>
      </c>
    </row>
    <row r="5" spans="1:18" ht="13.5" x14ac:dyDescent="0.2">
      <c r="A5" s="1" t="s">
        <v>0</v>
      </c>
      <c r="B5" s="1"/>
      <c r="C5" s="1"/>
      <c r="D5" s="1"/>
      <c r="E5" s="1"/>
      <c r="F5" s="1">
        <v>2020</v>
      </c>
      <c r="G5" s="1">
        <v>2021</v>
      </c>
      <c r="H5" s="1">
        <v>2022</v>
      </c>
      <c r="I5" s="1">
        <v>2023</v>
      </c>
      <c r="J5" s="1">
        <v>2024</v>
      </c>
      <c r="K5" s="1">
        <v>2025</v>
      </c>
      <c r="L5" s="1">
        <v>2026</v>
      </c>
      <c r="M5" s="1">
        <v>2027</v>
      </c>
      <c r="N5" s="1">
        <v>2028</v>
      </c>
      <c r="O5" s="1">
        <v>2029</v>
      </c>
      <c r="P5" s="1">
        <v>2030</v>
      </c>
      <c r="Q5" s="1">
        <v>2031</v>
      </c>
      <c r="R5" s="1">
        <v>2032</v>
      </c>
    </row>
    <row r="6" spans="1:18" ht="13.5" x14ac:dyDescent="0.25">
      <c r="A6" s="2" t="s">
        <v>1</v>
      </c>
      <c r="B6" s="3"/>
      <c r="C6" s="4"/>
      <c r="D6" s="5"/>
      <c r="E6" s="6"/>
      <c r="F6" s="12">
        <f>'[1]Dĺžky VÚC'!D$82</f>
        <v>478.1939999999999</v>
      </c>
      <c r="G6" s="12">
        <f>'[1]Dĺžky VÚC'!E$82</f>
        <v>478.1939999999999</v>
      </c>
      <c r="H6" s="12">
        <f>'[1]Dĺžky VÚC'!F$82</f>
        <v>502.33199999999988</v>
      </c>
      <c r="I6" s="12">
        <f>'[1]Dĺžky VÚC'!G$82</f>
        <v>534.99199999999996</v>
      </c>
      <c r="J6" s="12">
        <f>'[1]Dĺžky VÚC'!H$82</f>
        <v>534.99199999999996</v>
      </c>
      <c r="K6" s="12">
        <f>'[1]Dĺžky VÚC'!I$82</f>
        <v>549.91199999999992</v>
      </c>
      <c r="L6" s="12">
        <f>'[1]Dĺžky VÚC'!J$82</f>
        <v>563.42199999999991</v>
      </c>
      <c r="M6" s="12">
        <f>'[1]Dĺžky VÚC'!K$82</f>
        <v>563.42199999999991</v>
      </c>
      <c r="N6" s="12">
        <f>'[1]Dĺžky VÚC'!L$82</f>
        <v>589.22199999999987</v>
      </c>
      <c r="O6" s="12">
        <f>'[1]Dĺžky VÚC'!M$82</f>
        <v>589.22199999999987</v>
      </c>
      <c r="P6" s="12">
        <f>'[1]Dĺžky VÚC'!N$82</f>
        <v>592.79199999999992</v>
      </c>
      <c r="Q6" s="12">
        <f>'[1]Dĺžky VÚC'!O$82</f>
        <v>606.32199999999989</v>
      </c>
      <c r="R6" s="12">
        <f>'[1]Dĺžky VÚC'!P$82</f>
        <v>606.32199999999989</v>
      </c>
    </row>
    <row r="7" spans="1:18" ht="13.5" x14ac:dyDescent="0.25">
      <c r="A7" s="2" t="s">
        <v>2</v>
      </c>
      <c r="B7" s="3"/>
      <c r="C7" s="4"/>
      <c r="D7" s="5"/>
      <c r="E7" s="6"/>
      <c r="F7" s="12">
        <f>'[1]Dĺžky VÚC'!D$72</f>
        <v>272.26200000000006</v>
      </c>
      <c r="G7" s="12">
        <f>'[1]Dĺžky VÚC'!E$72</f>
        <v>272.26200000000006</v>
      </c>
      <c r="H7" s="12">
        <f>'[1]Dĺžky VÚC'!F$72</f>
        <v>272.26200000000006</v>
      </c>
      <c r="I7" s="12">
        <f>'[1]Dĺžky VÚC'!G$72</f>
        <v>304.39200000000005</v>
      </c>
      <c r="J7" s="12">
        <f>'[1]Dĺžky VÚC'!H$72</f>
        <v>317.89200000000005</v>
      </c>
      <c r="K7" s="12">
        <f>'[1]Dĺžky VÚC'!I$72</f>
        <v>322.29200000000003</v>
      </c>
      <c r="L7" s="12">
        <f>'[1]Dĺžky VÚC'!J$72</f>
        <v>340.89200000000005</v>
      </c>
      <c r="M7" s="12">
        <f>'[1]Dĺžky VÚC'!K$72</f>
        <v>388.04200000000003</v>
      </c>
      <c r="N7" s="12">
        <f>'[1]Dĺžky VÚC'!L$72</f>
        <v>408.35200000000003</v>
      </c>
      <c r="O7" s="12">
        <f>'[1]Dĺžky VÚC'!M$72</f>
        <v>516.60200000000009</v>
      </c>
      <c r="P7" s="12">
        <f>'[1]Dĺžky VÚC'!N$72</f>
        <v>554.52200000000005</v>
      </c>
      <c r="Q7" s="12">
        <f>'[1]Dĺžky VÚC'!O$72</f>
        <v>624.97200000000009</v>
      </c>
      <c r="R7" s="12">
        <f>'[1]Dĺžky VÚC'!P$72</f>
        <v>648.78200000000004</v>
      </c>
    </row>
    <row r="8" spans="1:18" ht="13.5" x14ac:dyDescent="0.25">
      <c r="A8" s="2" t="s">
        <v>3</v>
      </c>
      <c r="B8" s="3"/>
      <c r="C8" s="4"/>
      <c r="D8" s="5"/>
      <c r="E8" s="6"/>
      <c r="F8" s="12">
        <f>'[1]Dĺžky VÚC'!D$73</f>
        <v>430.76599999999985</v>
      </c>
      <c r="G8" s="12">
        <f>'[1]Dĺžky VÚC'!E$73</f>
        <v>430.76599999999985</v>
      </c>
      <c r="H8" s="12">
        <f>'[1]Dĺžky VÚC'!F$73</f>
        <v>430.76599999999985</v>
      </c>
      <c r="I8" s="12">
        <f>'[1]Dĺžky VÚC'!G$73</f>
        <v>444.76599999999985</v>
      </c>
      <c r="J8" s="12">
        <f>'[1]Dĺžky VÚC'!H$73</f>
        <v>447.76599999999985</v>
      </c>
      <c r="K8" s="12">
        <f>'[1]Dĺžky VÚC'!I$73</f>
        <v>465.76599999999985</v>
      </c>
      <c r="L8" s="12">
        <f>'[1]Dĺžky VÚC'!J$73</f>
        <v>486.76599999999985</v>
      </c>
      <c r="M8" s="12">
        <f>'[1]Dĺžky VÚC'!K$73</f>
        <v>506.76599999999985</v>
      </c>
      <c r="N8" s="12">
        <f>'[1]Dĺžky VÚC'!L$73</f>
        <v>523.46599999999989</v>
      </c>
      <c r="O8" s="12">
        <f>'[1]Dĺžky VÚC'!M$73</f>
        <v>595.46599999999989</v>
      </c>
      <c r="P8" s="12">
        <f>'[1]Dĺžky VÚC'!N$73</f>
        <v>617.46599999999989</v>
      </c>
      <c r="Q8" s="12">
        <f>'[1]Dĺžky VÚC'!O$73</f>
        <v>665.46599999999989</v>
      </c>
      <c r="R8" s="12">
        <f>'[1]Dĺžky VÚC'!P$73</f>
        <v>667.46599999999989</v>
      </c>
    </row>
    <row r="9" spans="1:18" ht="13.5" x14ac:dyDescent="0.25">
      <c r="A9" s="2" t="s">
        <v>4</v>
      </c>
      <c r="B9" s="3"/>
      <c r="C9" s="4"/>
      <c r="D9" s="5"/>
      <c r="E9" s="6"/>
      <c r="F9" s="12">
        <f>'[1]Dĺžky VÚC'!D$75</f>
        <v>1197.0240000000013</v>
      </c>
      <c r="G9" s="12">
        <f>'[1]Dĺžky VÚC'!E$75</f>
        <v>1197.0240000000013</v>
      </c>
      <c r="H9" s="12">
        <f>'[1]Dĺžky VÚC'!F$75</f>
        <v>1197.0240000000013</v>
      </c>
      <c r="I9" s="12">
        <f>'[1]Dĺžky VÚC'!G$75</f>
        <v>1183.0240000000013</v>
      </c>
      <c r="J9" s="12">
        <f>'[1]Dĺžky VÚC'!H$75</f>
        <v>1180.0240000000013</v>
      </c>
      <c r="K9" s="12">
        <f>'[1]Dĺžky VÚC'!I$75</f>
        <v>1167.7540000000013</v>
      </c>
      <c r="L9" s="12">
        <f>'[1]Dĺžky VÚC'!J$75</f>
        <v>1173.6370000000013</v>
      </c>
      <c r="M9" s="12">
        <f>'[1]Dĺžky VÚC'!K$75</f>
        <v>1153.6370000000013</v>
      </c>
      <c r="N9" s="12">
        <f>'[1]Dĺžky VÚC'!L$75</f>
        <v>1144.7370000000012</v>
      </c>
      <c r="O9" s="12">
        <f>'[1]Dĺžky VÚC'!M$75</f>
        <v>1091.7370000000012</v>
      </c>
      <c r="P9" s="12">
        <f>'[1]Dĺžky VÚC'!N$75</f>
        <v>1079.2370000000012</v>
      </c>
      <c r="Q9" s="12">
        <f>'[1]Dĺžky VÚC'!O$75</f>
        <v>1031.2370000000012</v>
      </c>
      <c r="R9" s="12">
        <f>'[1]Dĺžky VÚC'!P$75</f>
        <v>1029.2370000000012</v>
      </c>
    </row>
    <row r="10" spans="1:18" ht="13.5" x14ac:dyDescent="0.25">
      <c r="A10" s="2" t="s">
        <v>78</v>
      </c>
      <c r="B10" s="3"/>
      <c r="C10" s="4"/>
      <c r="D10" s="16"/>
      <c r="E10" s="6"/>
      <c r="F10" s="12">
        <f>'[1]Dĺžky VÚC'!D$77</f>
        <v>590.2330000000004</v>
      </c>
      <c r="G10" s="12">
        <f>'[1]Dĺžky VÚC'!E$77</f>
        <v>590.2330000000004</v>
      </c>
      <c r="H10" s="12">
        <f>'[1]Dĺžky VÚC'!F$77</f>
        <v>590.2330000000004</v>
      </c>
      <c r="I10" s="12">
        <f>'[1]Dĺžky VÚC'!G$77</f>
        <v>590.2330000000004</v>
      </c>
      <c r="J10" s="12">
        <f>'[1]Dĺžky VÚC'!H$77</f>
        <v>590.2330000000004</v>
      </c>
      <c r="K10" s="12">
        <f>'[1]Dĺžky VÚC'!I$77</f>
        <v>590.2330000000004</v>
      </c>
      <c r="L10" s="12">
        <f>'[1]Dĺžky VÚC'!J$77</f>
        <v>590.2330000000004</v>
      </c>
      <c r="M10" s="12">
        <f>'[1]Dĺžky VÚC'!K$77</f>
        <v>590.2330000000004</v>
      </c>
      <c r="N10" s="12">
        <f>'[1]Dĺžky VÚC'!L$77</f>
        <v>590.2330000000004</v>
      </c>
      <c r="O10" s="12">
        <f>'[1]Dĺžky VÚC'!M$77</f>
        <v>590.2330000000004</v>
      </c>
      <c r="P10" s="12">
        <f>'[1]Dĺžky VÚC'!N$77</f>
        <v>590.2330000000004</v>
      </c>
      <c r="Q10" s="12">
        <f>'[1]Dĺžky VÚC'!O$77</f>
        <v>590.2330000000004</v>
      </c>
      <c r="R10" s="12">
        <f>'[1]Dĺžky VÚC'!P$77</f>
        <v>590.2330000000004</v>
      </c>
    </row>
    <row r="11" spans="1:18" ht="13.5" x14ac:dyDescent="0.2">
      <c r="A11" s="9"/>
      <c r="B11" s="10"/>
      <c r="C11" s="10"/>
      <c r="D11" s="10"/>
      <c r="E11" s="11"/>
      <c r="F11" s="13">
        <f>SUM(F6:F10)</f>
        <v>2968.4790000000012</v>
      </c>
      <c r="G11" s="13">
        <f t="shared" ref="G11:R11" si="0">SUM(G6:G10)</f>
        <v>2968.4790000000012</v>
      </c>
      <c r="H11" s="13">
        <f t="shared" si="0"/>
        <v>2992.6170000000011</v>
      </c>
      <c r="I11" s="13">
        <f t="shared" si="0"/>
        <v>3057.4070000000011</v>
      </c>
      <c r="J11" s="13">
        <f t="shared" si="0"/>
        <v>3070.9070000000011</v>
      </c>
      <c r="K11" s="13">
        <f t="shared" si="0"/>
        <v>3095.9570000000012</v>
      </c>
      <c r="L11" s="13">
        <f t="shared" si="0"/>
        <v>3154.9500000000016</v>
      </c>
      <c r="M11" s="13">
        <f t="shared" si="0"/>
        <v>3202.1000000000013</v>
      </c>
      <c r="N11" s="13">
        <f t="shared" si="0"/>
        <v>3256.0100000000011</v>
      </c>
      <c r="O11" s="13">
        <f t="shared" si="0"/>
        <v>3383.2600000000011</v>
      </c>
      <c r="P11" s="13">
        <f t="shared" si="0"/>
        <v>3434.2500000000009</v>
      </c>
      <c r="Q11" s="13">
        <f t="shared" si="0"/>
        <v>3518.2300000000014</v>
      </c>
      <c r="R11" s="13">
        <f t="shared" si="0"/>
        <v>3542.0400000000009</v>
      </c>
    </row>
    <row r="13" spans="1:18" ht="13.5" x14ac:dyDescent="0.25">
      <c r="F13" s="14" t="s">
        <v>13</v>
      </c>
    </row>
    <row r="14" spans="1:18" ht="13.5" x14ac:dyDescent="0.25">
      <c r="F14" s="14" t="s">
        <v>6</v>
      </c>
    </row>
    <row r="15" spans="1:18" ht="40.5" x14ac:dyDescent="0.2">
      <c r="A15" s="1" t="s">
        <v>5</v>
      </c>
      <c r="B15" s="1"/>
      <c r="C15" s="1"/>
      <c r="D15" s="1" t="s">
        <v>7</v>
      </c>
      <c r="E15" s="1"/>
      <c r="F15" s="1">
        <v>2020</v>
      </c>
      <c r="G15" s="1">
        <v>2021</v>
      </c>
      <c r="H15" s="1">
        <v>2022</v>
      </c>
      <c r="I15" s="1">
        <v>2023</v>
      </c>
      <c r="J15" s="1">
        <v>2024</v>
      </c>
      <c r="K15" s="1">
        <v>2025</v>
      </c>
      <c r="L15" s="1">
        <v>2026</v>
      </c>
      <c r="M15" s="1">
        <v>2027</v>
      </c>
      <c r="N15" s="1">
        <v>2028</v>
      </c>
      <c r="O15" s="1">
        <v>2029</v>
      </c>
      <c r="P15" s="1">
        <v>2030</v>
      </c>
      <c r="Q15" s="1">
        <v>2031</v>
      </c>
      <c r="R15" s="1">
        <v>2032</v>
      </c>
    </row>
    <row r="16" spans="1:18" ht="13.5" x14ac:dyDescent="0.25">
      <c r="A16" s="2" t="s">
        <v>1</v>
      </c>
      <c r="B16" s="3"/>
      <c r="C16" s="4"/>
      <c r="D16" s="15">
        <f>F6/F16</f>
        <v>6.5506027397260258</v>
      </c>
      <c r="E16" s="6"/>
      <c r="F16" s="7">
        <v>73</v>
      </c>
      <c r="G16" s="8">
        <f t="shared" ref="G16:R16" si="1">ROUNDUP(G6/$D16,0)</f>
        <v>73</v>
      </c>
      <c r="H16" s="8">
        <f t="shared" si="1"/>
        <v>77</v>
      </c>
      <c r="I16" s="8">
        <f t="shared" si="1"/>
        <v>82</v>
      </c>
      <c r="J16" s="8">
        <f t="shared" si="1"/>
        <v>82</v>
      </c>
      <c r="K16" s="8">
        <f t="shared" si="1"/>
        <v>84</v>
      </c>
      <c r="L16" s="8">
        <f t="shared" si="1"/>
        <v>87</v>
      </c>
      <c r="M16" s="8">
        <f t="shared" si="1"/>
        <v>87</v>
      </c>
      <c r="N16" s="8">
        <f t="shared" si="1"/>
        <v>90</v>
      </c>
      <c r="O16" s="8">
        <f t="shared" si="1"/>
        <v>90</v>
      </c>
      <c r="P16" s="8">
        <f t="shared" si="1"/>
        <v>91</v>
      </c>
      <c r="Q16" s="8">
        <f t="shared" si="1"/>
        <v>93</v>
      </c>
      <c r="R16" s="8">
        <f t="shared" si="1"/>
        <v>93</v>
      </c>
    </row>
    <row r="17" spans="1:18" ht="13.5" x14ac:dyDescent="0.25">
      <c r="A17" s="2" t="s">
        <v>2</v>
      </c>
      <c r="B17" s="3"/>
      <c r="C17" s="4"/>
      <c r="D17" s="15">
        <f>F7/F17</f>
        <v>4.3216190476190484</v>
      </c>
      <c r="E17" s="6"/>
      <c r="F17" s="7">
        <v>63</v>
      </c>
      <c r="G17" s="8">
        <f t="shared" ref="G17:R17" si="2">ROUNDUP(G7/$D17,0)</f>
        <v>63</v>
      </c>
      <c r="H17" s="8">
        <f t="shared" si="2"/>
        <v>63</v>
      </c>
      <c r="I17" s="8">
        <f t="shared" si="2"/>
        <v>71</v>
      </c>
      <c r="J17" s="8">
        <f t="shared" si="2"/>
        <v>74</v>
      </c>
      <c r="K17" s="8">
        <f t="shared" si="2"/>
        <v>75</v>
      </c>
      <c r="L17" s="8">
        <f t="shared" si="2"/>
        <v>79</v>
      </c>
      <c r="M17" s="8">
        <f t="shared" si="2"/>
        <v>90</v>
      </c>
      <c r="N17" s="8">
        <f t="shared" si="2"/>
        <v>95</v>
      </c>
      <c r="O17" s="8">
        <f t="shared" si="2"/>
        <v>120</v>
      </c>
      <c r="P17" s="8">
        <f t="shared" si="2"/>
        <v>129</v>
      </c>
      <c r="Q17" s="8">
        <f t="shared" si="2"/>
        <v>145</v>
      </c>
      <c r="R17" s="8">
        <f t="shared" si="2"/>
        <v>151</v>
      </c>
    </row>
    <row r="18" spans="1:18" ht="13.5" x14ac:dyDescent="0.25">
      <c r="A18" s="2" t="s">
        <v>3</v>
      </c>
      <c r="B18" s="3"/>
      <c r="C18" s="4"/>
      <c r="D18" s="15">
        <f>F8/F18</f>
        <v>1.2897185628742511</v>
      </c>
      <c r="E18" s="6"/>
      <c r="F18" s="7">
        <v>334</v>
      </c>
      <c r="G18" s="8">
        <f t="shared" ref="G18:R18" si="3">ROUNDUP(G8/$D18,0)</f>
        <v>334</v>
      </c>
      <c r="H18" s="8">
        <f t="shared" si="3"/>
        <v>334</v>
      </c>
      <c r="I18" s="8">
        <f t="shared" si="3"/>
        <v>345</v>
      </c>
      <c r="J18" s="8">
        <f t="shared" si="3"/>
        <v>348</v>
      </c>
      <c r="K18" s="8">
        <f t="shared" si="3"/>
        <v>362</v>
      </c>
      <c r="L18" s="8">
        <f t="shared" si="3"/>
        <v>378</v>
      </c>
      <c r="M18" s="8">
        <f t="shared" si="3"/>
        <v>393</v>
      </c>
      <c r="N18" s="8">
        <f t="shared" si="3"/>
        <v>406</v>
      </c>
      <c r="O18" s="8">
        <f t="shared" si="3"/>
        <v>462</v>
      </c>
      <c r="P18" s="8">
        <f t="shared" si="3"/>
        <v>479</v>
      </c>
      <c r="Q18" s="8">
        <f t="shared" si="3"/>
        <v>516</v>
      </c>
      <c r="R18" s="8">
        <f t="shared" si="3"/>
        <v>518</v>
      </c>
    </row>
    <row r="19" spans="1:18" ht="13.5" x14ac:dyDescent="0.25">
      <c r="A19" s="2" t="s">
        <v>4</v>
      </c>
      <c r="B19" s="3"/>
      <c r="C19" s="4"/>
      <c r="D19" s="15">
        <f>F9/F19</f>
        <v>1.5190659898477172</v>
      </c>
      <c r="E19" s="6"/>
      <c r="F19" s="7">
        <v>788</v>
      </c>
      <c r="G19" s="8">
        <f t="shared" ref="G19:R19" si="4">ROUNDUP(G9/$D19,0)</f>
        <v>788</v>
      </c>
      <c r="H19" s="8">
        <f t="shared" si="4"/>
        <v>788</v>
      </c>
      <c r="I19" s="8">
        <f t="shared" si="4"/>
        <v>779</v>
      </c>
      <c r="J19" s="8">
        <f t="shared" si="4"/>
        <v>777</v>
      </c>
      <c r="K19" s="8">
        <f t="shared" si="4"/>
        <v>769</v>
      </c>
      <c r="L19" s="8">
        <f t="shared" si="4"/>
        <v>773</v>
      </c>
      <c r="M19" s="8">
        <f t="shared" si="4"/>
        <v>760</v>
      </c>
      <c r="N19" s="8">
        <f t="shared" si="4"/>
        <v>754</v>
      </c>
      <c r="O19" s="8">
        <f t="shared" si="4"/>
        <v>719</v>
      </c>
      <c r="P19" s="8">
        <f t="shared" si="4"/>
        <v>711</v>
      </c>
      <c r="Q19" s="8">
        <f t="shared" si="4"/>
        <v>679</v>
      </c>
      <c r="R19" s="8">
        <f t="shared" si="4"/>
        <v>678</v>
      </c>
    </row>
    <row r="20" spans="1:18" ht="13.5" x14ac:dyDescent="0.25">
      <c r="A20" s="2"/>
      <c r="B20" s="3"/>
      <c r="C20" s="4"/>
      <c r="D20" s="15">
        <f>F10/F20</f>
        <v>1.833021739130436</v>
      </c>
      <c r="E20" s="6"/>
      <c r="F20" s="8">
        <v>322</v>
      </c>
      <c r="G20" s="8">
        <f>ROUNDUP(G10/$D20,0)</f>
        <v>322</v>
      </c>
      <c r="H20" s="8">
        <f t="shared" ref="H20:R20" si="5">ROUNDUP(H10/$D20,0)</f>
        <v>322</v>
      </c>
      <c r="I20" s="8">
        <f t="shared" si="5"/>
        <v>322</v>
      </c>
      <c r="J20" s="8">
        <f t="shared" si="5"/>
        <v>322</v>
      </c>
      <c r="K20" s="8">
        <f t="shared" si="5"/>
        <v>322</v>
      </c>
      <c r="L20" s="8">
        <f t="shared" si="5"/>
        <v>322</v>
      </c>
      <c r="M20" s="8">
        <f t="shared" si="5"/>
        <v>322</v>
      </c>
      <c r="N20" s="8">
        <f t="shared" si="5"/>
        <v>322</v>
      </c>
      <c r="O20" s="8">
        <f t="shared" si="5"/>
        <v>322</v>
      </c>
      <c r="P20" s="8">
        <f t="shared" si="5"/>
        <v>322</v>
      </c>
      <c r="Q20" s="8">
        <f t="shared" si="5"/>
        <v>322</v>
      </c>
      <c r="R20" s="8">
        <f t="shared" si="5"/>
        <v>322</v>
      </c>
    </row>
    <row r="21" spans="1:18" ht="13.5" x14ac:dyDescent="0.2">
      <c r="A21" s="9"/>
      <c r="B21" s="10"/>
      <c r="C21" s="10"/>
      <c r="D21" s="10"/>
      <c r="E21" s="11"/>
      <c r="F21" s="11">
        <f>SUM(F16:F20)</f>
        <v>1580</v>
      </c>
      <c r="G21" s="11">
        <f t="shared" ref="G21:R21" si="6">SUM(G16:G20)</f>
        <v>1580</v>
      </c>
      <c r="H21" s="11">
        <f t="shared" si="6"/>
        <v>1584</v>
      </c>
      <c r="I21" s="11">
        <f t="shared" si="6"/>
        <v>1599</v>
      </c>
      <c r="J21" s="11">
        <f t="shared" si="6"/>
        <v>1603</v>
      </c>
      <c r="K21" s="11">
        <f t="shared" si="6"/>
        <v>1612</v>
      </c>
      <c r="L21" s="11">
        <f t="shared" si="6"/>
        <v>1639</v>
      </c>
      <c r="M21" s="11">
        <f t="shared" si="6"/>
        <v>1652</v>
      </c>
      <c r="N21" s="11">
        <f t="shared" si="6"/>
        <v>1667</v>
      </c>
      <c r="O21" s="11">
        <f t="shared" si="6"/>
        <v>1713</v>
      </c>
      <c r="P21" s="11">
        <f t="shared" si="6"/>
        <v>1732</v>
      </c>
      <c r="Q21" s="11">
        <f t="shared" si="6"/>
        <v>1755</v>
      </c>
      <c r="R21" s="11">
        <f t="shared" si="6"/>
        <v>1762</v>
      </c>
    </row>
    <row r="25" spans="1:18" ht="13.5" x14ac:dyDescent="0.2">
      <c r="A25" s="1" t="s">
        <v>38</v>
      </c>
      <c r="B25" s="1"/>
      <c r="C25" s="1"/>
      <c r="D25" s="1" t="s">
        <v>15</v>
      </c>
      <c r="E25" s="1"/>
      <c r="F25" s="1">
        <v>2020</v>
      </c>
      <c r="G25" s="1">
        <v>2021</v>
      </c>
      <c r="H25" s="1">
        <v>2022</v>
      </c>
      <c r="I25" s="1">
        <v>2023</v>
      </c>
      <c r="J25" s="1">
        <v>2024</v>
      </c>
      <c r="K25" s="1">
        <v>2025</v>
      </c>
      <c r="L25" s="1">
        <v>2026</v>
      </c>
      <c r="M25" s="1">
        <v>2027</v>
      </c>
      <c r="N25" s="1">
        <v>2028</v>
      </c>
      <c r="O25" s="1">
        <v>2029</v>
      </c>
      <c r="P25" s="1">
        <v>2030</v>
      </c>
      <c r="Q25" s="1">
        <v>2031</v>
      </c>
      <c r="R25" s="1">
        <v>2032</v>
      </c>
    </row>
    <row r="26" spans="1:18" ht="13.5" x14ac:dyDescent="0.25">
      <c r="A26" s="2" t="s">
        <v>1</v>
      </c>
      <c r="B26" s="3"/>
      <c r="C26" s="4"/>
      <c r="D26" s="16">
        <v>3450</v>
      </c>
      <c r="E26" s="6"/>
      <c r="F26" s="8"/>
      <c r="G26" s="8"/>
      <c r="H26" s="8">
        <f>H16*$D26</f>
        <v>265650</v>
      </c>
      <c r="I26" s="8">
        <f>ABS((I16-H16)*$D26)</f>
        <v>17250</v>
      </c>
      <c r="J26" s="8">
        <f t="shared" ref="J26:R26" si="7">ABS((J16-I16)*$D26)</f>
        <v>0</v>
      </c>
      <c r="K26" s="8">
        <f t="shared" si="7"/>
        <v>6900</v>
      </c>
      <c r="L26" s="8">
        <f t="shared" si="7"/>
        <v>10350</v>
      </c>
      <c r="M26" s="8">
        <f t="shared" si="7"/>
        <v>0</v>
      </c>
      <c r="N26" s="8">
        <f t="shared" si="7"/>
        <v>10350</v>
      </c>
      <c r="O26" s="8">
        <f t="shared" si="7"/>
        <v>0</v>
      </c>
      <c r="P26" s="8">
        <f t="shared" si="7"/>
        <v>3450</v>
      </c>
      <c r="Q26" s="8">
        <f t="shared" si="7"/>
        <v>6900</v>
      </c>
      <c r="R26" s="8">
        <f t="shared" si="7"/>
        <v>0</v>
      </c>
    </row>
    <row r="27" spans="1:18" ht="13.5" x14ac:dyDescent="0.25">
      <c r="A27" s="2" t="s">
        <v>2</v>
      </c>
      <c r="B27" s="3"/>
      <c r="C27" s="4"/>
      <c r="D27" s="16">
        <v>3450</v>
      </c>
      <c r="E27" s="6"/>
      <c r="F27" s="8"/>
      <c r="G27" s="8"/>
      <c r="H27" s="8">
        <f>H17*$D27</f>
        <v>217350</v>
      </c>
      <c r="I27" s="8">
        <f>ABS((I17-H17)*$D27)</f>
        <v>27600</v>
      </c>
      <c r="J27" s="8">
        <f t="shared" ref="J27:R27" si="8">ABS((J17-I17)*$D27)</f>
        <v>10350</v>
      </c>
      <c r="K27" s="8">
        <f t="shared" si="8"/>
        <v>3450</v>
      </c>
      <c r="L27" s="8">
        <f t="shared" si="8"/>
        <v>13800</v>
      </c>
      <c r="M27" s="8">
        <f t="shared" si="8"/>
        <v>37950</v>
      </c>
      <c r="N27" s="8">
        <f t="shared" si="8"/>
        <v>17250</v>
      </c>
      <c r="O27" s="8">
        <f t="shared" si="8"/>
        <v>86250</v>
      </c>
      <c r="P27" s="8">
        <f t="shared" si="8"/>
        <v>31050</v>
      </c>
      <c r="Q27" s="8">
        <f t="shared" si="8"/>
        <v>55200</v>
      </c>
      <c r="R27" s="8">
        <f t="shared" si="8"/>
        <v>20700</v>
      </c>
    </row>
    <row r="28" spans="1:18" ht="13.5" x14ac:dyDescent="0.25">
      <c r="A28" s="2" t="s">
        <v>3</v>
      </c>
      <c r="B28" s="3"/>
      <c r="C28" s="4"/>
      <c r="D28" s="16">
        <v>3450</v>
      </c>
      <c r="E28" s="6"/>
      <c r="F28" s="8"/>
      <c r="G28" s="8"/>
      <c r="H28" s="8">
        <f>H18*$D28</f>
        <v>1152300</v>
      </c>
      <c r="I28" s="8">
        <f>ABS((I18-H18)*$D28)</f>
        <v>37950</v>
      </c>
      <c r="J28" s="8">
        <f t="shared" ref="J28:R28" si="9">ABS((J18-I18)*$D28)</f>
        <v>10350</v>
      </c>
      <c r="K28" s="8">
        <f t="shared" si="9"/>
        <v>48300</v>
      </c>
      <c r="L28" s="8">
        <f t="shared" si="9"/>
        <v>55200</v>
      </c>
      <c r="M28" s="8">
        <f t="shared" si="9"/>
        <v>51750</v>
      </c>
      <c r="N28" s="8">
        <f t="shared" si="9"/>
        <v>44850</v>
      </c>
      <c r="O28" s="8">
        <f t="shared" si="9"/>
        <v>193200</v>
      </c>
      <c r="P28" s="8">
        <f t="shared" si="9"/>
        <v>58650</v>
      </c>
      <c r="Q28" s="8">
        <f t="shared" si="9"/>
        <v>127650</v>
      </c>
      <c r="R28" s="8">
        <f t="shared" si="9"/>
        <v>6900</v>
      </c>
    </row>
    <row r="29" spans="1:18" ht="13.5" x14ac:dyDescent="0.25">
      <c r="A29" s="2" t="s">
        <v>4</v>
      </c>
      <c r="B29" s="3"/>
      <c r="C29" s="4"/>
      <c r="D29" s="16">
        <v>3450</v>
      </c>
      <c r="E29" s="6"/>
      <c r="F29" s="8"/>
      <c r="G29" s="8"/>
      <c r="H29" s="8">
        <f>H19*$D29</f>
        <v>2718600</v>
      </c>
      <c r="I29" s="8">
        <f>ABS((I19-H19)*$D29)</f>
        <v>31050</v>
      </c>
      <c r="J29" s="8">
        <f t="shared" ref="J29:R29" si="10">ABS((J19-I19)*$D29)</f>
        <v>6900</v>
      </c>
      <c r="K29" s="8">
        <f t="shared" si="10"/>
        <v>27600</v>
      </c>
      <c r="L29" s="8">
        <f t="shared" si="10"/>
        <v>13800</v>
      </c>
      <c r="M29" s="8">
        <f t="shared" si="10"/>
        <v>44850</v>
      </c>
      <c r="N29" s="8">
        <f t="shared" si="10"/>
        <v>20700</v>
      </c>
      <c r="O29" s="8">
        <f t="shared" si="10"/>
        <v>120750</v>
      </c>
      <c r="P29" s="8">
        <f t="shared" si="10"/>
        <v>27600</v>
      </c>
      <c r="Q29" s="8">
        <f t="shared" si="10"/>
        <v>110400</v>
      </c>
      <c r="R29" s="8">
        <f t="shared" si="10"/>
        <v>3450</v>
      </c>
    </row>
    <row r="30" spans="1:18" ht="13.5" x14ac:dyDescent="0.25">
      <c r="A30" s="2" t="s">
        <v>78</v>
      </c>
      <c r="B30" s="3"/>
      <c r="C30" s="4"/>
      <c r="D30" s="16">
        <v>3450</v>
      </c>
      <c r="E30" s="6"/>
      <c r="F30" s="8"/>
      <c r="G30" s="8"/>
      <c r="H30" s="8">
        <f>H20*$D30</f>
        <v>1110900</v>
      </c>
      <c r="I30" s="8">
        <f>ABS((I20-H20)*$D30)</f>
        <v>0</v>
      </c>
      <c r="J30" s="8">
        <f t="shared" ref="J30:R30" si="11">ABS((J20-I20)*$D30)</f>
        <v>0</v>
      </c>
      <c r="K30" s="8">
        <f t="shared" si="11"/>
        <v>0</v>
      </c>
      <c r="L30" s="8">
        <f t="shared" si="11"/>
        <v>0</v>
      </c>
      <c r="M30" s="8">
        <f t="shared" si="11"/>
        <v>0</v>
      </c>
      <c r="N30" s="8">
        <f t="shared" si="11"/>
        <v>0</v>
      </c>
      <c r="O30" s="8">
        <f t="shared" si="11"/>
        <v>0</v>
      </c>
      <c r="P30" s="8">
        <f t="shared" si="11"/>
        <v>0</v>
      </c>
      <c r="Q30" s="8">
        <f t="shared" si="11"/>
        <v>0</v>
      </c>
      <c r="R30" s="8">
        <f t="shared" si="11"/>
        <v>0</v>
      </c>
    </row>
    <row r="31" spans="1:18" ht="13.5" x14ac:dyDescent="0.2">
      <c r="A31" s="9"/>
      <c r="B31" s="10"/>
      <c r="C31" s="10"/>
      <c r="D31" s="10"/>
      <c r="E31" s="11"/>
      <c r="F31" s="11">
        <f t="shared" ref="F31:G31" si="12">SUM(F26:F29)</f>
        <v>0</v>
      </c>
      <c r="G31" s="11">
        <f t="shared" si="12"/>
        <v>0</v>
      </c>
      <c r="H31" s="11">
        <f>SUM(H26:H30)</f>
        <v>5464800</v>
      </c>
      <c r="I31" s="11">
        <f t="shared" ref="I31:R31" si="13">SUM(I26:I30)</f>
        <v>113850</v>
      </c>
      <c r="J31" s="11">
        <f t="shared" si="13"/>
        <v>27600</v>
      </c>
      <c r="K31" s="11">
        <f t="shared" si="13"/>
        <v>86250</v>
      </c>
      <c r="L31" s="11">
        <f t="shared" si="13"/>
        <v>93150</v>
      </c>
      <c r="M31" s="11">
        <f t="shared" si="13"/>
        <v>134550</v>
      </c>
      <c r="N31" s="11">
        <f t="shared" si="13"/>
        <v>93150</v>
      </c>
      <c r="O31" s="11">
        <f t="shared" si="13"/>
        <v>400200</v>
      </c>
      <c r="P31" s="11">
        <f t="shared" si="13"/>
        <v>120750</v>
      </c>
      <c r="Q31" s="11">
        <f t="shared" si="13"/>
        <v>300150</v>
      </c>
      <c r="R31" s="11">
        <f t="shared" si="13"/>
        <v>31050</v>
      </c>
    </row>
    <row r="32" spans="1:18" ht="13.5" x14ac:dyDescent="0.25">
      <c r="A32" s="32" t="s">
        <v>46</v>
      </c>
      <c r="H32" s="60"/>
    </row>
    <row r="34" spans="1:19" ht="13.5" x14ac:dyDescent="0.25">
      <c r="A34" s="17" t="s">
        <v>44</v>
      </c>
      <c r="B34" s="31">
        <v>3.2000000000000001E-2</v>
      </c>
    </row>
    <row r="35" spans="1:19" ht="13.5" x14ac:dyDescent="0.2">
      <c r="A35" s="1" t="s">
        <v>39</v>
      </c>
      <c r="B35" s="1"/>
      <c r="C35" s="1"/>
      <c r="D35" s="1" t="s">
        <v>40</v>
      </c>
      <c r="E35" s="1"/>
      <c r="F35" s="1">
        <v>2020</v>
      </c>
      <c r="G35" s="1">
        <v>2021</v>
      </c>
      <c r="H35" s="1">
        <v>2022</v>
      </c>
      <c r="I35" s="1">
        <v>2023</v>
      </c>
      <c r="J35" s="1">
        <v>2024</v>
      </c>
      <c r="K35" s="1">
        <v>2025</v>
      </c>
      <c r="L35" s="1">
        <v>2026</v>
      </c>
      <c r="M35" s="1">
        <v>2027</v>
      </c>
      <c r="N35" s="1">
        <v>2028</v>
      </c>
      <c r="O35" s="1">
        <v>2029</v>
      </c>
      <c r="P35" s="1">
        <v>2030</v>
      </c>
      <c r="Q35" s="1">
        <v>2031</v>
      </c>
      <c r="R35" s="1">
        <v>2032</v>
      </c>
    </row>
    <row r="36" spans="1:19" s="22" customFormat="1" ht="13.5" x14ac:dyDescent="0.25">
      <c r="A36" s="17" t="s">
        <v>20</v>
      </c>
      <c r="B36" s="18"/>
      <c r="C36" s="19"/>
      <c r="D36" s="19"/>
      <c r="E36" s="20"/>
      <c r="F36" s="21"/>
      <c r="G36" s="21"/>
      <c r="H36" s="21">
        <v>6</v>
      </c>
      <c r="I36" s="21">
        <v>12</v>
      </c>
      <c r="J36" s="21">
        <v>12</v>
      </c>
      <c r="K36" s="21">
        <v>12</v>
      </c>
      <c r="L36" s="21">
        <v>12</v>
      </c>
      <c r="M36" s="21">
        <v>12</v>
      </c>
      <c r="N36" s="21">
        <v>12</v>
      </c>
      <c r="O36" s="21">
        <v>12</v>
      </c>
      <c r="P36" s="21">
        <v>12</v>
      </c>
      <c r="Q36" s="21">
        <v>12</v>
      </c>
      <c r="R36" s="21">
        <v>12</v>
      </c>
      <c r="S36"/>
    </row>
    <row r="37" spans="1:19" ht="13.5" x14ac:dyDescent="0.25">
      <c r="A37" s="2" t="s">
        <v>70</v>
      </c>
      <c r="B37" s="3"/>
      <c r="C37" s="16"/>
      <c r="D37" s="16">
        <f>GNSS!D34</f>
        <v>9300</v>
      </c>
      <c r="E37" s="6"/>
      <c r="F37" s="8"/>
      <c r="G37" s="8"/>
      <c r="H37" s="8">
        <f>$D37*H$36</f>
        <v>55800</v>
      </c>
      <c r="I37" s="8">
        <f t="shared" ref="I37:R38" si="14">$D37*I$36</f>
        <v>111600</v>
      </c>
      <c r="J37" s="8">
        <f t="shared" si="14"/>
        <v>111600</v>
      </c>
      <c r="K37" s="8">
        <f t="shared" si="14"/>
        <v>111600</v>
      </c>
      <c r="L37" s="8">
        <f t="shared" si="14"/>
        <v>111600</v>
      </c>
      <c r="M37" s="8">
        <f t="shared" si="14"/>
        <v>111600</v>
      </c>
      <c r="N37" s="8">
        <f t="shared" si="14"/>
        <v>111600</v>
      </c>
      <c r="O37" s="8">
        <f t="shared" si="14"/>
        <v>111600</v>
      </c>
      <c r="P37" s="8">
        <f t="shared" si="14"/>
        <v>111600</v>
      </c>
      <c r="Q37" s="8">
        <f t="shared" si="14"/>
        <v>111600</v>
      </c>
      <c r="R37" s="8">
        <f t="shared" si="14"/>
        <v>111600</v>
      </c>
    </row>
    <row r="38" spans="1:19" ht="13.5" x14ac:dyDescent="0.25">
      <c r="A38" s="2" t="s">
        <v>41</v>
      </c>
      <c r="B38" s="3"/>
      <c r="C38" s="16"/>
      <c r="D38" s="16">
        <v>1200</v>
      </c>
      <c r="E38" s="6"/>
      <c r="F38" s="8"/>
      <c r="G38" s="8"/>
      <c r="H38" s="8">
        <f>$D38*H$36</f>
        <v>7200</v>
      </c>
      <c r="I38" s="8">
        <f t="shared" si="14"/>
        <v>14400</v>
      </c>
      <c r="J38" s="8">
        <f t="shared" si="14"/>
        <v>14400</v>
      </c>
      <c r="K38" s="8">
        <f t="shared" si="14"/>
        <v>14400</v>
      </c>
      <c r="L38" s="8">
        <f t="shared" si="14"/>
        <v>14400</v>
      </c>
      <c r="M38" s="8">
        <f t="shared" si="14"/>
        <v>14400</v>
      </c>
      <c r="N38" s="8">
        <f t="shared" si="14"/>
        <v>14400</v>
      </c>
      <c r="O38" s="8">
        <f t="shared" si="14"/>
        <v>14400</v>
      </c>
      <c r="P38" s="8">
        <f t="shared" si="14"/>
        <v>14400</v>
      </c>
      <c r="Q38" s="8">
        <f t="shared" si="14"/>
        <v>14400</v>
      </c>
      <c r="R38" s="8">
        <f t="shared" si="14"/>
        <v>14400</v>
      </c>
    </row>
    <row r="39" spans="1:19" ht="13.5" x14ac:dyDescent="0.2">
      <c r="A39" s="9"/>
      <c r="B39" s="10"/>
      <c r="C39" s="10"/>
      <c r="D39" s="10"/>
      <c r="E39" s="11"/>
      <c r="F39" s="11">
        <f t="shared" ref="F39:R39" si="15">SUM(F37:F38)</f>
        <v>0</v>
      </c>
      <c r="G39" s="11">
        <f t="shared" si="15"/>
        <v>0</v>
      </c>
      <c r="H39" s="11">
        <f t="shared" si="15"/>
        <v>63000</v>
      </c>
      <c r="I39" s="11">
        <f t="shared" si="15"/>
        <v>126000</v>
      </c>
      <c r="J39" s="11">
        <f t="shared" si="15"/>
        <v>126000</v>
      </c>
      <c r="K39" s="11">
        <f t="shared" si="15"/>
        <v>126000</v>
      </c>
      <c r="L39" s="11">
        <f t="shared" si="15"/>
        <v>126000</v>
      </c>
      <c r="M39" s="11">
        <f t="shared" si="15"/>
        <v>126000</v>
      </c>
      <c r="N39" s="11">
        <f t="shared" si="15"/>
        <v>126000</v>
      </c>
      <c r="O39" s="11">
        <f t="shared" si="15"/>
        <v>126000</v>
      </c>
      <c r="P39" s="11">
        <f t="shared" si="15"/>
        <v>126000</v>
      </c>
      <c r="Q39" s="11">
        <f t="shared" si="15"/>
        <v>126000</v>
      </c>
      <c r="R39" s="11">
        <f t="shared" si="15"/>
        <v>126000</v>
      </c>
    </row>
    <row r="40" spans="1:19" x14ac:dyDescent="0.2">
      <c r="A40" s="32" t="s">
        <v>45</v>
      </c>
    </row>
    <row r="42" spans="1:19" x14ac:dyDescent="0.2">
      <c r="E42" s="33">
        <v>0.08</v>
      </c>
    </row>
    <row r="43" spans="1:19" ht="27" x14ac:dyDescent="0.2">
      <c r="A43" s="1" t="s">
        <v>21</v>
      </c>
      <c r="B43" s="1"/>
      <c r="C43" s="1" t="s">
        <v>22</v>
      </c>
      <c r="D43" s="1" t="s">
        <v>23</v>
      </c>
      <c r="E43" s="1" t="s">
        <v>57</v>
      </c>
      <c r="F43" s="1">
        <v>2020</v>
      </c>
      <c r="G43" s="1">
        <v>2021</v>
      </c>
      <c r="H43" s="1">
        <v>2022</v>
      </c>
      <c r="I43" s="1">
        <v>2023</v>
      </c>
      <c r="J43" s="1">
        <v>2024</v>
      </c>
      <c r="K43" s="1">
        <v>2025</v>
      </c>
      <c r="L43" s="1">
        <v>2026</v>
      </c>
      <c r="M43" s="1">
        <v>2027</v>
      </c>
      <c r="N43" s="1">
        <v>2028</v>
      </c>
      <c r="O43" s="1">
        <v>2029</v>
      </c>
      <c r="P43" s="1">
        <v>2030</v>
      </c>
      <c r="Q43" s="1">
        <v>2031</v>
      </c>
      <c r="R43" s="1">
        <v>2032</v>
      </c>
      <c r="S43" s="1">
        <v>2033</v>
      </c>
    </row>
    <row r="44" spans="1:19" s="22" customFormat="1" ht="13.5" x14ac:dyDescent="0.25">
      <c r="A44" s="17" t="s">
        <v>20</v>
      </c>
      <c r="B44" s="18"/>
      <c r="C44" s="19"/>
      <c r="D44" s="19"/>
      <c r="E44" s="20"/>
      <c r="F44" s="21"/>
      <c r="G44" s="21"/>
      <c r="H44" s="21">
        <v>3</v>
      </c>
      <c r="I44" s="21">
        <v>12</v>
      </c>
      <c r="J44" s="21">
        <v>12</v>
      </c>
      <c r="K44" s="21">
        <v>12</v>
      </c>
      <c r="L44" s="21">
        <v>12</v>
      </c>
      <c r="M44" s="21">
        <v>12</v>
      </c>
      <c r="N44" s="21">
        <v>12</v>
      </c>
      <c r="O44" s="21">
        <v>12</v>
      </c>
      <c r="P44" s="21">
        <v>12</v>
      </c>
      <c r="Q44" s="21">
        <v>12</v>
      </c>
      <c r="R44" s="21">
        <v>12</v>
      </c>
      <c r="S44" s="21">
        <v>0</v>
      </c>
    </row>
    <row r="45" spans="1:19" ht="13.5" x14ac:dyDescent="0.25">
      <c r="A45" s="17" t="s">
        <v>59</v>
      </c>
      <c r="B45" s="18"/>
      <c r="C45" s="19"/>
      <c r="D45" s="19"/>
      <c r="E45" s="20"/>
      <c r="F45" s="21"/>
      <c r="G45" s="21"/>
      <c r="H45" s="21">
        <v>420000</v>
      </c>
    </row>
    <row r="46" spans="1:19" ht="13.5" x14ac:dyDescent="0.25">
      <c r="A46" s="17" t="s">
        <v>92</v>
      </c>
      <c r="B46" s="18">
        <v>0.1</v>
      </c>
      <c r="C46" s="19"/>
      <c r="D46" s="19"/>
      <c r="E46" s="20"/>
      <c r="F46" s="21"/>
      <c r="G46" s="21"/>
      <c r="H46" s="21"/>
      <c r="I46" s="21">
        <f>$B46*I47</f>
        <v>28000</v>
      </c>
      <c r="J46" s="21">
        <f t="shared" ref="J46:Q46" si="16">$B46*J47</f>
        <v>28000</v>
      </c>
      <c r="K46" s="21">
        <f t="shared" si="16"/>
        <v>28000</v>
      </c>
      <c r="L46" s="21">
        <f t="shared" si="16"/>
        <v>28000</v>
      </c>
      <c r="M46" s="21">
        <f t="shared" si="16"/>
        <v>28000</v>
      </c>
      <c r="N46" s="21">
        <f t="shared" si="16"/>
        <v>28000</v>
      </c>
      <c r="O46" s="21">
        <f t="shared" si="16"/>
        <v>28000</v>
      </c>
      <c r="P46" s="21">
        <f t="shared" si="16"/>
        <v>28000</v>
      </c>
      <c r="Q46" s="21">
        <f t="shared" si="16"/>
        <v>28000</v>
      </c>
      <c r="R46" s="21"/>
      <c r="S46" s="21"/>
    </row>
    <row r="47" spans="1:19" s="22" customFormat="1" ht="14.25" thickBot="1" x14ac:dyDescent="0.3">
      <c r="A47" s="49" t="s">
        <v>60</v>
      </c>
      <c r="B47" s="50"/>
      <c r="C47" s="51"/>
      <c r="D47" s="51"/>
      <c r="E47" s="52"/>
      <c r="F47" s="53"/>
      <c r="G47" s="53"/>
      <c r="H47" s="53">
        <v>280000</v>
      </c>
      <c r="I47" s="53">
        <f>H47</f>
        <v>280000</v>
      </c>
      <c r="J47" s="53">
        <f t="shared" ref="J47:R47" si="17">I47</f>
        <v>280000</v>
      </c>
      <c r="K47" s="53">
        <f t="shared" si="17"/>
        <v>280000</v>
      </c>
      <c r="L47" s="53">
        <f t="shared" si="17"/>
        <v>280000</v>
      </c>
      <c r="M47" s="53">
        <f t="shared" si="17"/>
        <v>280000</v>
      </c>
      <c r="N47" s="53">
        <f t="shared" si="17"/>
        <v>280000</v>
      </c>
      <c r="O47" s="53">
        <f t="shared" si="17"/>
        <v>280000</v>
      </c>
      <c r="P47" s="53">
        <f t="shared" si="17"/>
        <v>280000</v>
      </c>
      <c r="Q47" s="53">
        <f t="shared" si="17"/>
        <v>280000</v>
      </c>
      <c r="R47" s="53">
        <f t="shared" si="17"/>
        <v>280000</v>
      </c>
      <c r="S47" s="53"/>
    </row>
    <row r="48" spans="1:19" ht="14.25" thickTop="1" x14ac:dyDescent="0.25">
      <c r="A48" s="44" t="s">
        <v>61</v>
      </c>
      <c r="B48" s="45"/>
      <c r="C48" s="46">
        <v>85</v>
      </c>
      <c r="D48" s="46"/>
      <c r="E48" s="47"/>
      <c r="F48" s="48"/>
      <c r="G48" s="48"/>
      <c r="H48" s="48">
        <f>$C48*H45</f>
        <v>35700000</v>
      </c>
    </row>
    <row r="49" spans="1:19" ht="13.5" x14ac:dyDescent="0.25">
      <c r="A49" s="2" t="s">
        <v>61</v>
      </c>
      <c r="B49" s="3"/>
      <c r="C49" s="16">
        <v>85</v>
      </c>
      <c r="D49" s="16"/>
      <c r="E49" s="6"/>
      <c r="F49" s="8"/>
      <c r="G49" s="8"/>
      <c r="H49" s="8"/>
      <c r="I49" s="8">
        <f t="shared" ref="I49:S49" si="18">$C48*I46</f>
        <v>2380000</v>
      </c>
      <c r="J49" s="8">
        <f t="shared" si="18"/>
        <v>2380000</v>
      </c>
      <c r="K49" s="8">
        <f t="shared" si="18"/>
        <v>2380000</v>
      </c>
      <c r="L49" s="8">
        <f t="shared" si="18"/>
        <v>2380000</v>
      </c>
      <c r="M49" s="8">
        <f t="shared" si="18"/>
        <v>2380000</v>
      </c>
      <c r="N49" s="8">
        <f t="shared" si="18"/>
        <v>2380000</v>
      </c>
      <c r="O49" s="8">
        <f t="shared" si="18"/>
        <v>2380000</v>
      </c>
      <c r="P49" s="8">
        <f t="shared" si="18"/>
        <v>2380000</v>
      </c>
      <c r="Q49" s="8">
        <f t="shared" si="18"/>
        <v>2380000</v>
      </c>
      <c r="R49" s="8">
        <f t="shared" si="18"/>
        <v>0</v>
      </c>
      <c r="S49" s="8">
        <f t="shared" si="18"/>
        <v>0</v>
      </c>
    </row>
    <row r="50" spans="1:19" ht="13.5" x14ac:dyDescent="0.25">
      <c r="A50" s="2" t="s">
        <v>24</v>
      </c>
      <c r="B50" s="3"/>
      <c r="C50" s="16"/>
      <c r="D50" s="16">
        <v>1.8</v>
      </c>
      <c r="E50" s="6"/>
      <c r="F50" s="8"/>
      <c r="G50" s="8"/>
      <c r="H50" s="8">
        <f>$D50*H47*H44</f>
        <v>1512000</v>
      </c>
      <c r="I50" s="8">
        <f t="shared" ref="I50:S50" si="19">$D50*I47*I44</f>
        <v>6048000</v>
      </c>
      <c r="J50" s="8">
        <f t="shared" si="19"/>
        <v>6048000</v>
      </c>
      <c r="K50" s="8">
        <f t="shared" si="19"/>
        <v>6048000</v>
      </c>
      <c r="L50" s="8">
        <f t="shared" si="19"/>
        <v>6048000</v>
      </c>
      <c r="M50" s="8">
        <f t="shared" si="19"/>
        <v>6048000</v>
      </c>
      <c r="N50" s="8">
        <f t="shared" si="19"/>
        <v>6048000</v>
      </c>
      <c r="O50" s="8">
        <f t="shared" si="19"/>
        <v>6048000</v>
      </c>
      <c r="P50" s="8">
        <f t="shared" si="19"/>
        <v>6048000</v>
      </c>
      <c r="Q50" s="8">
        <f t="shared" si="19"/>
        <v>6048000</v>
      </c>
      <c r="R50" s="8">
        <f t="shared" si="19"/>
        <v>6048000</v>
      </c>
      <c r="S50" s="8">
        <f t="shared" si="19"/>
        <v>0</v>
      </c>
    </row>
    <row r="51" spans="1:19" ht="13.5" x14ac:dyDescent="0.25">
      <c r="A51" s="34" t="s">
        <v>56</v>
      </c>
      <c r="B51" s="35"/>
      <c r="C51" s="36"/>
      <c r="D51" s="36"/>
      <c r="E51" s="36">
        <f>C48*E42</f>
        <v>6.8</v>
      </c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>
        <f>R47*E51</f>
        <v>1904000</v>
      </c>
    </row>
    <row r="52" spans="1:19" ht="13.5" x14ac:dyDescent="0.2">
      <c r="A52" s="9"/>
      <c r="B52" s="10"/>
      <c r="C52" s="10"/>
      <c r="D52" s="10"/>
      <c r="E52" s="11"/>
      <c r="F52" s="11">
        <f>SUM(F47:F50)</f>
        <v>0</v>
      </c>
      <c r="G52" s="11">
        <f>SUM(G47:G50)</f>
        <v>0</v>
      </c>
      <c r="H52" s="11">
        <f>SUM(H48:H51)</f>
        <v>37212000</v>
      </c>
      <c r="I52" s="11">
        <f t="shared" ref="I52:S52" si="20">SUM(I49:I51)</f>
        <v>8428000</v>
      </c>
      <c r="J52" s="11">
        <f t="shared" si="20"/>
        <v>8428000</v>
      </c>
      <c r="K52" s="11">
        <f t="shared" si="20"/>
        <v>8428000</v>
      </c>
      <c r="L52" s="11">
        <f t="shared" si="20"/>
        <v>8428000</v>
      </c>
      <c r="M52" s="11">
        <f t="shared" si="20"/>
        <v>8428000</v>
      </c>
      <c r="N52" s="11">
        <f t="shared" si="20"/>
        <v>8428000</v>
      </c>
      <c r="O52" s="11">
        <f t="shared" si="20"/>
        <v>8428000</v>
      </c>
      <c r="P52" s="11">
        <f t="shared" si="20"/>
        <v>8428000</v>
      </c>
      <c r="Q52" s="11">
        <f t="shared" si="20"/>
        <v>8428000</v>
      </c>
      <c r="R52" s="11">
        <f t="shared" si="20"/>
        <v>6048000</v>
      </c>
      <c r="S52" s="11">
        <f t="shared" si="20"/>
        <v>1904000</v>
      </c>
    </row>
    <row r="53" spans="1:19" x14ac:dyDescent="0.2">
      <c r="A53" s="32" t="s">
        <v>47</v>
      </c>
    </row>
    <row r="55" spans="1:19" x14ac:dyDescent="0.2">
      <c r="E55" s="43">
        <v>0.02</v>
      </c>
    </row>
    <row r="56" spans="1:19" ht="27" x14ac:dyDescent="0.2">
      <c r="A56" s="1" t="s">
        <v>25</v>
      </c>
      <c r="B56" s="1"/>
      <c r="C56" s="1" t="s">
        <v>22</v>
      </c>
      <c r="D56" s="1" t="s">
        <v>23</v>
      </c>
      <c r="E56" s="1" t="s">
        <v>57</v>
      </c>
      <c r="F56" s="1">
        <v>2020</v>
      </c>
      <c r="G56" s="1">
        <v>2021</v>
      </c>
      <c r="H56" s="1">
        <v>2022</v>
      </c>
      <c r="I56" s="1">
        <v>2023</v>
      </c>
      <c r="J56" s="1">
        <v>2024</v>
      </c>
      <c r="K56" s="1">
        <v>2025</v>
      </c>
      <c r="L56" s="1">
        <v>2026</v>
      </c>
      <c r="M56" s="1">
        <v>2027</v>
      </c>
      <c r="N56" s="1">
        <v>2028</v>
      </c>
      <c r="O56" s="1">
        <v>2029</v>
      </c>
      <c r="P56" s="1">
        <v>2030</v>
      </c>
      <c r="Q56" s="1">
        <v>2031</v>
      </c>
      <c r="R56" s="1">
        <v>2032</v>
      </c>
      <c r="S56" s="1">
        <v>2033</v>
      </c>
    </row>
    <row r="57" spans="1:19" ht="13.5" x14ac:dyDescent="0.25">
      <c r="A57" s="17" t="s">
        <v>20</v>
      </c>
      <c r="B57" s="18"/>
      <c r="C57" s="19"/>
      <c r="D57" s="19"/>
      <c r="E57" s="20"/>
      <c r="F57" s="21"/>
      <c r="G57" s="21"/>
      <c r="H57" s="21">
        <v>6</v>
      </c>
      <c r="I57" s="21">
        <v>12</v>
      </c>
      <c r="J57" s="21">
        <v>12</v>
      </c>
      <c r="K57" s="21">
        <v>12</v>
      </c>
      <c r="L57" s="21">
        <v>12</v>
      </c>
      <c r="M57" s="21">
        <v>12</v>
      </c>
      <c r="N57" s="21">
        <v>12</v>
      </c>
      <c r="O57" s="21">
        <v>12</v>
      </c>
      <c r="P57" s="21">
        <v>12</v>
      </c>
      <c r="Q57" s="21">
        <v>12</v>
      </c>
      <c r="R57" s="21">
        <v>12</v>
      </c>
      <c r="S57" s="21">
        <v>1</v>
      </c>
    </row>
    <row r="58" spans="1:19" ht="13.5" x14ac:dyDescent="0.25">
      <c r="A58" s="2" t="s">
        <v>26</v>
      </c>
      <c r="B58" s="3"/>
      <c r="C58" s="16">
        <v>1200000</v>
      </c>
      <c r="D58" s="16"/>
      <c r="E58" s="20"/>
      <c r="F58" s="8"/>
      <c r="G58" s="8"/>
      <c r="H58" s="8">
        <f>C58</f>
        <v>1200000</v>
      </c>
      <c r="I58" s="8"/>
      <c r="J58" s="8"/>
      <c r="K58" s="8"/>
      <c r="L58" s="8"/>
      <c r="M58" s="8"/>
      <c r="N58" s="8"/>
      <c r="O58" s="8"/>
      <c r="P58" s="8"/>
      <c r="Q58" s="8"/>
      <c r="R58" s="8"/>
    </row>
    <row r="59" spans="1:19" ht="13.5" x14ac:dyDescent="0.25">
      <c r="A59" s="2" t="s">
        <v>50</v>
      </c>
      <c r="B59" s="3"/>
      <c r="C59" s="16"/>
      <c r="D59" s="16">
        <f>2*1500+2400</f>
        <v>5400</v>
      </c>
      <c r="E59" s="20"/>
      <c r="F59" s="8"/>
      <c r="G59" s="8"/>
      <c r="H59" s="8">
        <f>$D59*H$57</f>
        <v>32400</v>
      </c>
      <c r="I59" s="8">
        <f t="shared" ref="I59:S61" si="21">$D59*I$57</f>
        <v>64800</v>
      </c>
      <c r="J59" s="8">
        <f t="shared" si="21"/>
        <v>64800</v>
      </c>
      <c r="K59" s="8">
        <f t="shared" si="21"/>
        <v>64800</v>
      </c>
      <c r="L59" s="8">
        <f t="shared" si="21"/>
        <v>64800</v>
      </c>
      <c r="M59" s="8">
        <f t="shared" si="21"/>
        <v>64800</v>
      </c>
      <c r="N59" s="8">
        <f t="shared" si="21"/>
        <v>64800</v>
      </c>
      <c r="O59" s="8">
        <f t="shared" si="21"/>
        <v>64800</v>
      </c>
      <c r="P59" s="8">
        <f t="shared" si="21"/>
        <v>64800</v>
      </c>
      <c r="Q59" s="8">
        <f t="shared" si="21"/>
        <v>64800</v>
      </c>
      <c r="R59" s="8">
        <f t="shared" si="21"/>
        <v>64800</v>
      </c>
      <c r="S59" s="8">
        <f t="shared" si="21"/>
        <v>5400</v>
      </c>
    </row>
    <row r="60" spans="1:19" ht="13.5" x14ac:dyDescent="0.25">
      <c r="A60" s="2" t="s">
        <v>49</v>
      </c>
      <c r="B60" s="3"/>
      <c r="C60" s="16"/>
      <c r="D60" s="16">
        <f>SUM('[2]Palubné jednotky (alt.2)'!$G$6:$G$21)</f>
        <v>42878</v>
      </c>
      <c r="E60" s="6"/>
      <c r="F60" s="8"/>
      <c r="G60" s="8"/>
      <c r="H60" s="8">
        <f>$D60*H$57</f>
        <v>257268</v>
      </c>
      <c r="I60" s="8">
        <f t="shared" si="21"/>
        <v>514536</v>
      </c>
      <c r="J60" s="8">
        <f t="shared" si="21"/>
        <v>514536</v>
      </c>
      <c r="K60" s="8">
        <f t="shared" si="21"/>
        <v>514536</v>
      </c>
      <c r="L60" s="8">
        <f t="shared" si="21"/>
        <v>514536</v>
      </c>
      <c r="M60" s="8">
        <f t="shared" si="21"/>
        <v>514536</v>
      </c>
      <c r="N60" s="8">
        <f t="shared" si="21"/>
        <v>514536</v>
      </c>
      <c r="O60" s="8">
        <f t="shared" si="21"/>
        <v>514536</v>
      </c>
      <c r="P60" s="8">
        <f t="shared" si="21"/>
        <v>514536</v>
      </c>
      <c r="Q60" s="8">
        <f t="shared" si="21"/>
        <v>514536</v>
      </c>
      <c r="R60" s="8">
        <f t="shared" si="21"/>
        <v>514536</v>
      </c>
      <c r="S60" s="8">
        <f t="shared" si="21"/>
        <v>42878</v>
      </c>
    </row>
    <row r="61" spans="1:19" ht="13.5" x14ac:dyDescent="0.25">
      <c r="A61" s="2" t="s">
        <v>41</v>
      </c>
      <c r="B61" s="3"/>
      <c r="C61" s="16"/>
      <c r="D61" s="16">
        <v>1540</v>
      </c>
      <c r="E61" s="6"/>
      <c r="F61" s="8"/>
      <c r="G61" s="8"/>
      <c r="H61" s="8">
        <f>$D61*H$57</f>
        <v>9240</v>
      </c>
      <c r="I61" s="8">
        <f t="shared" si="21"/>
        <v>18480</v>
      </c>
      <c r="J61" s="8">
        <f t="shared" si="21"/>
        <v>18480</v>
      </c>
      <c r="K61" s="8">
        <f t="shared" si="21"/>
        <v>18480</v>
      </c>
      <c r="L61" s="8">
        <f t="shared" si="21"/>
        <v>18480</v>
      </c>
      <c r="M61" s="8">
        <f t="shared" si="21"/>
        <v>18480</v>
      </c>
      <c r="N61" s="8">
        <f t="shared" si="21"/>
        <v>18480</v>
      </c>
      <c r="O61" s="8">
        <f t="shared" si="21"/>
        <v>18480</v>
      </c>
      <c r="P61" s="8">
        <f t="shared" si="21"/>
        <v>18480</v>
      </c>
      <c r="Q61" s="8">
        <f t="shared" si="21"/>
        <v>18480</v>
      </c>
      <c r="R61" s="8">
        <f t="shared" si="21"/>
        <v>18480</v>
      </c>
      <c r="S61" s="8">
        <f t="shared" si="21"/>
        <v>1540</v>
      </c>
    </row>
    <row r="62" spans="1:19" ht="13.5" x14ac:dyDescent="0.25">
      <c r="A62" s="2" t="s">
        <v>58</v>
      </c>
      <c r="B62" s="3"/>
      <c r="C62" s="16"/>
      <c r="D62" s="16"/>
      <c r="E62" s="6">
        <f>C58*E55</f>
        <v>24000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>
        <f>E62</f>
        <v>24000</v>
      </c>
    </row>
    <row r="63" spans="1:19" ht="13.5" x14ac:dyDescent="0.2">
      <c r="A63" s="9"/>
      <c r="B63" s="10"/>
      <c r="C63" s="10"/>
      <c r="D63" s="10"/>
      <c r="E63" s="11"/>
      <c r="F63" s="11">
        <f t="shared" ref="F63:G63" si="22">SUM(F58:F62)</f>
        <v>0</v>
      </c>
      <c r="G63" s="11">
        <f t="shared" si="22"/>
        <v>0</v>
      </c>
      <c r="H63" s="11">
        <f>SUM(H58:H62)</f>
        <v>1498908</v>
      </c>
      <c r="I63" s="11">
        <f t="shared" ref="I63:S63" si="23">SUM(I58:I62)</f>
        <v>597816</v>
      </c>
      <c r="J63" s="11">
        <f t="shared" si="23"/>
        <v>597816</v>
      </c>
      <c r="K63" s="11">
        <f t="shared" si="23"/>
        <v>597816</v>
      </c>
      <c r="L63" s="11">
        <f t="shared" si="23"/>
        <v>597816</v>
      </c>
      <c r="M63" s="11">
        <f t="shared" si="23"/>
        <v>597816</v>
      </c>
      <c r="N63" s="11">
        <f t="shared" si="23"/>
        <v>597816</v>
      </c>
      <c r="O63" s="11">
        <f t="shared" si="23"/>
        <v>597816</v>
      </c>
      <c r="P63" s="11">
        <f t="shared" si="23"/>
        <v>597816</v>
      </c>
      <c r="Q63" s="11">
        <f t="shared" si="23"/>
        <v>597816</v>
      </c>
      <c r="R63" s="11">
        <f t="shared" si="23"/>
        <v>597816</v>
      </c>
      <c r="S63" s="11">
        <f t="shared" si="23"/>
        <v>73818</v>
      </c>
    </row>
    <row r="64" spans="1:19" x14ac:dyDescent="0.2">
      <c r="A64" s="32" t="s">
        <v>48</v>
      </c>
    </row>
    <row r="67" spans="1:19" ht="13.5" x14ac:dyDescent="0.2">
      <c r="A67" s="1" t="s">
        <v>34</v>
      </c>
      <c r="B67" s="1"/>
      <c r="C67" s="1"/>
      <c r="D67" s="1"/>
      <c r="E67" s="1"/>
      <c r="F67" s="1">
        <v>2020</v>
      </c>
      <c r="G67" s="1">
        <v>2021</v>
      </c>
      <c r="H67" s="1">
        <v>2022</v>
      </c>
      <c r="I67" s="1">
        <v>2023</v>
      </c>
      <c r="J67" s="1">
        <v>2024</v>
      </c>
      <c r="K67" s="1">
        <v>2025</v>
      </c>
      <c r="L67" s="1">
        <v>2026</v>
      </c>
      <c r="M67" s="1">
        <v>2027</v>
      </c>
      <c r="N67" s="1">
        <v>2028</v>
      </c>
      <c r="O67" s="1">
        <v>2029</v>
      </c>
      <c r="P67" s="1">
        <v>2030</v>
      </c>
      <c r="Q67" s="1">
        <v>2031</v>
      </c>
      <c r="R67" s="1">
        <v>2032</v>
      </c>
      <c r="S67" s="1">
        <v>2033</v>
      </c>
    </row>
    <row r="68" spans="1:19" ht="13.5" x14ac:dyDescent="0.25">
      <c r="A68" s="24" t="s">
        <v>27</v>
      </c>
      <c r="B68" s="3"/>
      <c r="C68" s="16"/>
      <c r="D68" s="1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</row>
    <row r="69" spans="1:19" ht="13.5" x14ac:dyDescent="0.25">
      <c r="A69" s="2" t="s">
        <v>37</v>
      </c>
      <c r="B69" s="3"/>
      <c r="C69" s="16"/>
      <c r="D69" s="16"/>
      <c r="E69" s="6"/>
      <c r="F69" s="8"/>
      <c r="G69" s="8"/>
      <c r="H69" s="8">
        <f>H31</f>
        <v>5464800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19" ht="13.5" x14ac:dyDescent="0.25">
      <c r="A70" s="2" t="s">
        <v>21</v>
      </c>
      <c r="B70" s="3"/>
      <c r="C70" s="16"/>
      <c r="D70" s="16"/>
      <c r="E70" s="6"/>
      <c r="F70" s="8"/>
      <c r="G70" s="8"/>
      <c r="H70" s="8">
        <f>H48</f>
        <v>35700000</v>
      </c>
      <c r="I70" s="8">
        <f t="shared" ref="I70:Q70" si="24">I48</f>
        <v>0</v>
      </c>
      <c r="J70" s="8">
        <f t="shared" si="24"/>
        <v>0</v>
      </c>
      <c r="K70" s="8">
        <f t="shared" si="24"/>
        <v>0</v>
      </c>
      <c r="L70" s="8">
        <f t="shared" si="24"/>
        <v>0</v>
      </c>
      <c r="M70" s="8">
        <f t="shared" si="24"/>
        <v>0</v>
      </c>
      <c r="N70" s="8">
        <f t="shared" si="24"/>
        <v>0</v>
      </c>
      <c r="O70" s="8">
        <f t="shared" si="24"/>
        <v>0</v>
      </c>
      <c r="P70" s="8">
        <f t="shared" si="24"/>
        <v>0</v>
      </c>
      <c r="Q70" s="8">
        <f t="shared" si="24"/>
        <v>0</v>
      </c>
      <c r="R70" s="8">
        <f>R49</f>
        <v>0</v>
      </c>
      <c r="S70" s="8">
        <f>S49</f>
        <v>0</v>
      </c>
    </row>
    <row r="71" spans="1:19" ht="13.5" x14ac:dyDescent="0.25">
      <c r="A71" s="2" t="s">
        <v>29</v>
      </c>
      <c r="B71" s="3"/>
      <c r="C71" s="16"/>
      <c r="D71" s="16"/>
      <c r="E71" s="6"/>
      <c r="F71" s="8"/>
      <c r="G71" s="8"/>
      <c r="H71" s="8">
        <f t="shared" ref="H71:S71" si="25">H58</f>
        <v>1200000</v>
      </c>
      <c r="I71" s="8">
        <f t="shared" si="25"/>
        <v>0</v>
      </c>
      <c r="J71" s="8">
        <f t="shared" si="25"/>
        <v>0</v>
      </c>
      <c r="K71" s="8">
        <f t="shared" si="25"/>
        <v>0</v>
      </c>
      <c r="L71" s="8">
        <f t="shared" si="25"/>
        <v>0</v>
      </c>
      <c r="M71" s="8">
        <f t="shared" si="25"/>
        <v>0</v>
      </c>
      <c r="N71" s="8">
        <f t="shared" si="25"/>
        <v>0</v>
      </c>
      <c r="O71" s="8">
        <f t="shared" si="25"/>
        <v>0</v>
      </c>
      <c r="P71" s="8">
        <f t="shared" si="25"/>
        <v>0</v>
      </c>
      <c r="Q71" s="8">
        <f t="shared" si="25"/>
        <v>0</v>
      </c>
      <c r="R71" s="8">
        <f t="shared" si="25"/>
        <v>0</v>
      </c>
      <c r="S71" s="8">
        <f t="shared" si="25"/>
        <v>0</v>
      </c>
    </row>
    <row r="72" spans="1:19" s="29" customFormat="1" ht="13.5" x14ac:dyDescent="0.25">
      <c r="A72" s="23" t="s">
        <v>30</v>
      </c>
      <c r="B72" s="25"/>
      <c r="C72" s="26"/>
      <c r="D72" s="26"/>
      <c r="E72" s="27"/>
      <c r="F72" s="28"/>
      <c r="G72" s="28"/>
      <c r="H72" s="28">
        <f>SUM(H69:H71)</f>
        <v>42364800</v>
      </c>
      <c r="I72" s="28">
        <f t="shared" ref="I72:S72" si="26">SUM(I69:I71)</f>
        <v>0</v>
      </c>
      <c r="J72" s="28">
        <f t="shared" si="26"/>
        <v>0</v>
      </c>
      <c r="K72" s="28">
        <f t="shared" si="26"/>
        <v>0</v>
      </c>
      <c r="L72" s="28">
        <f t="shared" si="26"/>
        <v>0</v>
      </c>
      <c r="M72" s="28">
        <f t="shared" si="26"/>
        <v>0</v>
      </c>
      <c r="N72" s="28">
        <f t="shared" si="26"/>
        <v>0</v>
      </c>
      <c r="O72" s="28">
        <f t="shared" si="26"/>
        <v>0</v>
      </c>
      <c r="P72" s="28">
        <f t="shared" si="26"/>
        <v>0</v>
      </c>
      <c r="Q72" s="28">
        <f t="shared" si="26"/>
        <v>0</v>
      </c>
      <c r="R72" s="28">
        <f t="shared" si="26"/>
        <v>0</v>
      </c>
      <c r="S72" s="28">
        <f t="shared" si="26"/>
        <v>0</v>
      </c>
    </row>
    <row r="73" spans="1:19" ht="13.5" x14ac:dyDescent="0.25">
      <c r="A73" s="2"/>
      <c r="B73" s="3"/>
      <c r="C73" s="16"/>
      <c r="D73" s="16"/>
      <c r="E73" s="6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</row>
    <row r="74" spans="1:19" ht="13.5" x14ac:dyDescent="0.25">
      <c r="A74" s="24" t="s">
        <v>31</v>
      </c>
      <c r="B74" s="3"/>
      <c r="C74" s="16"/>
      <c r="D74" s="1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</row>
    <row r="75" spans="1:19" ht="13.5" x14ac:dyDescent="0.25">
      <c r="A75" s="2" t="s">
        <v>37</v>
      </c>
      <c r="B75" s="3"/>
      <c r="C75" s="16"/>
      <c r="D75" s="16"/>
      <c r="E75" s="6"/>
      <c r="F75" s="8"/>
      <c r="G75" s="8"/>
      <c r="H75" s="8">
        <f>H39</f>
        <v>63000</v>
      </c>
      <c r="I75" s="8">
        <f>I39+I31</f>
        <v>239850</v>
      </c>
      <c r="J75" s="8">
        <f t="shared" ref="J75:S75" si="27">J39+J31</f>
        <v>153600</v>
      </c>
      <c r="K75" s="8">
        <f t="shared" si="27"/>
        <v>212250</v>
      </c>
      <c r="L75" s="8">
        <f t="shared" si="27"/>
        <v>219150</v>
      </c>
      <c r="M75" s="8">
        <f t="shared" si="27"/>
        <v>260550</v>
      </c>
      <c r="N75" s="8">
        <f t="shared" si="27"/>
        <v>219150</v>
      </c>
      <c r="O75" s="8">
        <f t="shared" si="27"/>
        <v>526200</v>
      </c>
      <c r="P75" s="8">
        <f t="shared" si="27"/>
        <v>246750</v>
      </c>
      <c r="Q75" s="8">
        <f t="shared" si="27"/>
        <v>426150</v>
      </c>
      <c r="R75" s="8">
        <f t="shared" si="27"/>
        <v>157050</v>
      </c>
      <c r="S75" s="8">
        <f t="shared" si="27"/>
        <v>0</v>
      </c>
    </row>
    <row r="76" spans="1:19" ht="13.5" x14ac:dyDescent="0.25">
      <c r="A76" s="2" t="s">
        <v>21</v>
      </c>
      <c r="B76" s="3"/>
      <c r="C76" s="16"/>
      <c r="D76" s="16"/>
      <c r="E76" s="6"/>
      <c r="F76" s="8"/>
      <c r="G76" s="8"/>
      <c r="H76" s="8">
        <f>SUM(H49:H51)</f>
        <v>1512000</v>
      </c>
      <c r="I76" s="8">
        <f t="shared" ref="I76:S76" si="28">SUM(I49:I51)</f>
        <v>8428000</v>
      </c>
      <c r="J76" s="8">
        <f t="shared" si="28"/>
        <v>8428000</v>
      </c>
      <c r="K76" s="8">
        <f t="shared" si="28"/>
        <v>8428000</v>
      </c>
      <c r="L76" s="8">
        <f t="shared" si="28"/>
        <v>8428000</v>
      </c>
      <c r="M76" s="8">
        <f t="shared" si="28"/>
        <v>8428000</v>
      </c>
      <c r="N76" s="8">
        <f t="shared" si="28"/>
        <v>8428000</v>
      </c>
      <c r="O76" s="8">
        <f t="shared" si="28"/>
        <v>8428000</v>
      </c>
      <c r="P76" s="8">
        <f t="shared" si="28"/>
        <v>8428000</v>
      </c>
      <c r="Q76" s="8">
        <f t="shared" si="28"/>
        <v>8428000</v>
      </c>
      <c r="R76" s="8">
        <f t="shared" si="28"/>
        <v>6048000</v>
      </c>
      <c r="S76" s="8">
        <f t="shared" si="28"/>
        <v>1904000</v>
      </c>
    </row>
    <row r="77" spans="1:19" ht="13.5" x14ac:dyDescent="0.25">
      <c r="A77" s="2" t="s">
        <v>29</v>
      </c>
      <c r="B77" s="3"/>
      <c r="C77" s="16"/>
      <c r="D77" s="16"/>
      <c r="E77" s="6"/>
      <c r="F77" s="8"/>
      <c r="G77" s="8"/>
      <c r="H77" s="8">
        <f>SUM(H59:H62)</f>
        <v>298908</v>
      </c>
      <c r="I77" s="8">
        <f t="shared" ref="I77:S77" si="29">SUM(I59:I62)</f>
        <v>597816</v>
      </c>
      <c r="J77" s="8">
        <f t="shared" si="29"/>
        <v>597816</v>
      </c>
      <c r="K77" s="8">
        <f t="shared" si="29"/>
        <v>597816</v>
      </c>
      <c r="L77" s="8">
        <f t="shared" si="29"/>
        <v>597816</v>
      </c>
      <c r="M77" s="8">
        <f t="shared" si="29"/>
        <v>597816</v>
      </c>
      <c r="N77" s="8">
        <f t="shared" si="29"/>
        <v>597816</v>
      </c>
      <c r="O77" s="8">
        <f t="shared" si="29"/>
        <v>597816</v>
      </c>
      <c r="P77" s="8">
        <f t="shared" si="29"/>
        <v>597816</v>
      </c>
      <c r="Q77" s="8">
        <f t="shared" si="29"/>
        <v>597816</v>
      </c>
      <c r="R77" s="8">
        <f t="shared" si="29"/>
        <v>597816</v>
      </c>
      <c r="S77" s="8">
        <f t="shared" si="29"/>
        <v>73818</v>
      </c>
    </row>
    <row r="78" spans="1:19" ht="13.5" x14ac:dyDescent="0.25">
      <c r="A78" s="23" t="s">
        <v>32</v>
      </c>
      <c r="B78" s="3"/>
      <c r="C78" s="16"/>
      <c r="D78" s="16"/>
      <c r="E78" s="6"/>
      <c r="F78" s="8"/>
      <c r="G78" s="8"/>
      <c r="H78" s="28">
        <f>SUM(H75:H77)</f>
        <v>1873908</v>
      </c>
      <c r="I78" s="28">
        <f t="shared" ref="I78:S78" si="30">SUM(I75:I77)</f>
        <v>9265666</v>
      </c>
      <c r="J78" s="28">
        <f t="shared" si="30"/>
        <v>9179416</v>
      </c>
      <c r="K78" s="28">
        <f t="shared" si="30"/>
        <v>9238066</v>
      </c>
      <c r="L78" s="28">
        <f t="shared" si="30"/>
        <v>9244966</v>
      </c>
      <c r="M78" s="28">
        <f t="shared" si="30"/>
        <v>9286366</v>
      </c>
      <c r="N78" s="28">
        <f t="shared" si="30"/>
        <v>9244966</v>
      </c>
      <c r="O78" s="28">
        <f t="shared" si="30"/>
        <v>9552016</v>
      </c>
      <c r="P78" s="28">
        <f t="shared" si="30"/>
        <v>9272566</v>
      </c>
      <c r="Q78" s="28">
        <f t="shared" si="30"/>
        <v>9451966</v>
      </c>
      <c r="R78" s="28">
        <f t="shared" si="30"/>
        <v>6802866</v>
      </c>
      <c r="S78" s="28">
        <f t="shared" si="30"/>
        <v>1977818</v>
      </c>
    </row>
    <row r="79" spans="1:19" ht="13.5" x14ac:dyDescent="0.2">
      <c r="A79" s="9" t="s">
        <v>33</v>
      </c>
      <c r="B79" s="10"/>
      <c r="C79" s="10"/>
      <c r="D79" s="10"/>
      <c r="E79" s="11"/>
      <c r="F79" s="11">
        <f t="shared" ref="F79:G79" si="31">SUM(F72,F78)</f>
        <v>0</v>
      </c>
      <c r="G79" s="11">
        <f t="shared" si="31"/>
        <v>0</v>
      </c>
      <c r="H79" s="11">
        <f>SUM(H72,H78)</f>
        <v>44238708</v>
      </c>
      <c r="I79" s="11">
        <f t="shared" ref="I79:S79" si="32">SUM(I72,I78)</f>
        <v>9265666</v>
      </c>
      <c r="J79" s="11">
        <f t="shared" si="32"/>
        <v>9179416</v>
      </c>
      <c r="K79" s="11">
        <f t="shared" si="32"/>
        <v>9238066</v>
      </c>
      <c r="L79" s="11">
        <f t="shared" si="32"/>
        <v>9244966</v>
      </c>
      <c r="M79" s="11">
        <f t="shared" si="32"/>
        <v>9286366</v>
      </c>
      <c r="N79" s="11">
        <f t="shared" si="32"/>
        <v>9244966</v>
      </c>
      <c r="O79" s="11">
        <f t="shared" si="32"/>
        <v>9552016</v>
      </c>
      <c r="P79" s="11">
        <f t="shared" si="32"/>
        <v>9272566</v>
      </c>
      <c r="Q79" s="11">
        <f t="shared" si="32"/>
        <v>9451966</v>
      </c>
      <c r="R79" s="11">
        <f t="shared" si="32"/>
        <v>6802866</v>
      </c>
      <c r="S79" s="11">
        <f t="shared" si="32"/>
        <v>1977818</v>
      </c>
    </row>
    <row r="80" spans="1:19" x14ac:dyDescent="0.2">
      <c r="A80" s="32" t="s">
        <v>51</v>
      </c>
    </row>
  </sheetData>
  <mergeCells count="1">
    <mergeCell ref="A2:E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fessional Services File" ma:contentTypeID="0x0101008BF0FBB838BCD748BD563AED518C57140400A4329078794E1C42A1771681A19CD500" ma:contentTypeVersion="8" ma:contentTypeDescription="" ma:contentTypeScope="" ma:versionID="f1b34d49f0d8d9016364db8dec673a18">
  <xsd:schema xmlns:xsd="http://www.w3.org/2001/XMLSchema" xmlns:xs="http://www.w3.org/2001/XMLSchema" xmlns:p="http://schemas.microsoft.com/office/2006/metadata/properties" xmlns:ns1="http://schemas.microsoft.com/sharepoint/v3" xmlns:ns2="1467fb8b-7944-4202-8e80-6a5cf0d18287" xmlns:ns3="eb30a9ab-dfc6-4f8d-bcf8-08edec0a809c" targetNamespace="http://schemas.microsoft.com/office/2006/metadata/properties" ma:root="true" ma:fieldsID="49eedb45b8fff11bb9cfce08be8a1189" ns1:_="" ns2:_="" ns3:_="">
    <xsd:import namespace="http://schemas.microsoft.com/sharepoint/v3"/>
    <xsd:import namespace="1467fb8b-7944-4202-8e80-6a5cf0d18287"/>
    <xsd:import namespace="eb30a9ab-dfc6-4f8d-bcf8-08edec0a809c"/>
    <xsd:element name="properties">
      <xsd:complexType>
        <xsd:sequence>
          <xsd:element name="documentManagement">
            <xsd:complexType>
              <xsd:all>
                <xsd:element ref="ns2:AuthorEnsemble" minOccurs="0"/>
                <xsd:element ref="ns1:PublishedDate" minOccurs="0"/>
                <xsd:element ref="ns2:DocumentAudience"/>
                <xsd:element ref="ns2:ProfessionalServicesFileTopic" minOccurs="0"/>
                <xsd:element ref="ns2:DocCTLanguage" minOccurs="0"/>
                <xsd:element ref="ns2:Classification"/>
                <xsd:element ref="ns2:Abstract" minOccurs="0"/>
                <xsd:element ref="ns2:ClientID" minOccurs="0"/>
                <xsd:element ref="ns2:OpportunityID" minOccurs="0"/>
                <xsd:element ref="ns2:ContractID" minOccurs="0"/>
                <xsd:element ref="ns2:TaxKeywordTaxHTField" minOccurs="0"/>
                <xsd:element ref="ns2:d03104a6d34b444fb9971a4d8e41064a" minOccurs="0"/>
                <xsd:element ref="ns2:i85fc926d10a45efbad452e9e78f262a" minOccurs="0"/>
                <xsd:element ref="ns2:TaxCatchAllLabel" minOccurs="0"/>
                <xsd:element ref="ns2:e362f309fe2042bf8a95bf8c54dd75c6" minOccurs="0"/>
                <xsd:element ref="ns2:TaxCatchAll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edDate" ma:index="3" nillable="true" ma:displayName="Published Date" ma:format="DateOnly" ma:internalName="PublishedDate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67fb8b-7944-4202-8e80-6a5cf0d18287" elementFormDefault="qualified">
    <xsd:import namespace="http://schemas.microsoft.com/office/2006/documentManagement/types"/>
    <xsd:import namespace="http://schemas.microsoft.com/office/infopath/2007/PartnerControls"/>
    <xsd:element name="AuthorEnsemble" ma:index="2" nillable="true" ma:displayName="Author" ma:description="The name of the CGI approval authority." ma:internalName="AuthorEnsemble" ma:readOnly="false">
      <xsd:simpleType>
        <xsd:restriction base="dms:Text"/>
      </xsd:simpleType>
    </xsd:element>
    <xsd:element name="DocumentAudience" ma:index="5" ma:displayName="Document Audience" ma:default="CGI only" ma:description="" ma:internalName="DocumentAudience" ma:readOnly="false">
      <xsd:simpleType>
        <xsd:restriction base="dms:Choice">
          <xsd:enumeration value="CGI only"/>
          <xsd:enumeration value="Approved for client communications"/>
        </xsd:restriction>
      </xsd:simpleType>
    </xsd:element>
    <xsd:element name="ProfessionalServicesFileTopic" ma:index="6" nillable="true" ma:displayName="Topic" ma:default="Professional Services Management" ma:description="" ma:format="Dropdown" ma:internalName="ProfessionalServicesFileTopic" ma:readOnly="false">
      <xsd:simpleType>
        <xsd:restriction base="dms:Choice">
          <xsd:enumeration value="Professional Services Management"/>
          <xsd:enumeration value="Proposal Submission and Follow Up"/>
          <xsd:enumeration value="Contract Signature"/>
          <xsd:enumeration value="Client Relationship Management"/>
          <xsd:enumeration value="Member Management"/>
        </xsd:restriction>
      </xsd:simpleType>
    </xsd:element>
    <xsd:element name="DocCTLanguage" ma:index="8" nillable="true" ma:displayName="Language" ma:default="English" ma:description="" ma:internalName="DocCTLanguage" ma:readOnly="false">
      <xsd:simpleType>
        <xsd:restriction base="dms:Choice">
          <xsd:enumeration value="English"/>
          <xsd:enumeration value="French"/>
        </xsd:restriction>
      </xsd:simpleType>
    </xsd:element>
    <xsd:element name="Classification" ma:index="9" ma:displayName="Classification" ma:default="Internal" ma:description="As per information classification policy." ma:internalName="Classification" ma:readOnly="false">
      <xsd:simpleType>
        <xsd:restriction base="dms:Choice">
          <xsd:enumeration value="Internal"/>
          <xsd:enumeration value="Public"/>
          <xsd:enumeration value="Confidential"/>
          <xsd:enumeration value="Highly confidential"/>
        </xsd:restriction>
      </xsd:simpleType>
    </xsd:element>
    <xsd:element name="Abstract" ma:index="10" nillable="true" ma:displayName="Abstract" ma:description="" ma:internalName="Abstract" ma:readOnly="false">
      <xsd:simpleType>
        <xsd:restriction base="dms:Note">
          <xsd:maxLength value="255"/>
        </xsd:restriction>
      </xsd:simpleType>
    </xsd:element>
    <xsd:element name="ClientID" ma:index="13" nillable="true" ma:displayName="Client ID" ma:description="(PSA-CRM - Sales funnel #)" ma:internalName="ClientID">
      <xsd:simpleType>
        <xsd:restriction base="dms:Text">
          <xsd:maxLength value="255"/>
        </xsd:restriction>
      </xsd:simpleType>
    </xsd:element>
    <xsd:element name="OpportunityID" ma:index="14" nillable="true" ma:displayName="Opportunity ID" ma:description="(PSA-CRM - Sales funnel #)" ma:internalName="OpportunityID">
      <xsd:simpleType>
        <xsd:restriction base="dms:Text">
          <xsd:maxLength value="255"/>
        </xsd:restriction>
      </xsd:simpleType>
    </xsd:element>
    <xsd:element name="ContractID" ma:index="15" nillable="true" ma:displayName="Contract ID" ma:description="" ma:internalName="ContractID" ma:readOnly="false">
      <xsd:simpleType>
        <xsd:restriction base="dms:Text"/>
      </xsd:simpleType>
    </xsd:element>
    <xsd:element name="TaxKeywordTaxHTField" ma:index="16" nillable="true" ma:taxonomy="true" ma:internalName="TaxKeywordTaxHTField" ma:taxonomyFieldName="TaxKeyword" ma:displayName="Enterprise Keywords" ma:readOnly="false" ma:fieldId="{23f27201-bee3-471e-b2e7-b64fd8b7ca38}" ma:taxonomyMulti="true" ma:sspId="204c783a-96cf-4a0f-a0fc-232f03230527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d03104a6d34b444fb9971a4d8e41064a" ma:index="17" nillable="true" ma:taxonomy="true" ma:internalName="d03104a6d34b444fb9971a4d8e41064a" ma:taxonomyFieldName="SBUBUContentOwner" ma:displayName="SBU/BU Content Owner" ma:readOnly="false" ma:fieldId="{d03104a6-d34b-444f-b997-1a4d8e41064a}" ma:sspId="204c783a-96cf-4a0f-a0fc-232f03230527" ma:termSetId="d99e8ed4-fc5d-43fa-94ab-5d6ef9c16d4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85fc926d10a45efbad452e9e78f262a" ma:index="24" nillable="true" ma:taxonomy="true" ma:internalName="i85fc926d10a45efbad452e9e78f262a" ma:taxonomyFieldName="CountryRMJurisdiction" ma:displayName="Country RM Jurisdiction" ma:readOnly="false" ma:fieldId="{285fc926-d10a-45ef-bad4-52e9e78f262a}" ma:sspId="204c783a-96cf-4a0f-a0fc-232f03230527" ma:termSetId="8fe0e76e-13ab-4aa3-aef5-217f3c27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5" nillable="true" ma:displayName="Taxonomy Catch All Column1" ma:description="" ma:hidden="true" ma:list="{c37f0672-8f53-40e1-8d34-cb5783257d0a}" ma:internalName="TaxCatchAllLabel" ma:readOnly="true" ma:showField="CatchAllDataLabel" ma:web="eb30a9ab-dfc6-4f8d-bcf8-08edec0a80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62f309fe2042bf8a95bf8c54dd75c6" ma:index="26" ma:taxonomy="true" ma:internalName="e362f309fe2042bf8a95bf8c54dd75c6" ma:taxonomyFieldName="ProfessionalServicesFileDocument" ma:displayName="Document Type" ma:readOnly="false" ma:default="4;#Proposal|df1c5671-ab52-4d33-a09d-0231a1dbce1b" ma:fieldId="{e362f309-fe20-42bf-8a95-bf8c54dd75c6}" ma:sspId="204c783a-96cf-4a0f-a0fc-232f03230527" ma:termSetId="462f9cae-d6b2-4ceb-a226-a9aedfa0d98a" ma:anchorId="6a3380cc-6f5c-45c1-8ba4-3be8b13b4ed6" ma:open="false" ma:isKeyword="false">
      <xsd:complexType>
        <xsd:sequence>
          <xsd:element ref="pc:Terms" minOccurs="0" maxOccurs="1"/>
        </xsd:sequence>
      </xsd:complexType>
    </xsd:element>
    <xsd:element name="TaxCatchAll" ma:index="27" nillable="true" ma:displayName="Taxonomy Catch All Column" ma:description="" ma:hidden="true" ma:list="{c37f0672-8f53-40e1-8d34-cb5783257d0a}" ma:internalName="TaxCatchAll" ma:showField="CatchAllData" ma:web="eb30a9ab-dfc6-4f8d-bcf8-08edec0a80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30a9ab-dfc6-4f8d-bcf8-08edec0a809c" elementFormDefault="qualified">
    <xsd:import namespace="http://schemas.microsoft.com/office/2006/documentManagement/types"/>
    <xsd:import namespace="http://schemas.microsoft.com/office/infopath/2007/PartnerControls"/>
    <xsd:element name="_dlc_DocId" ma:index="2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04c783a-96cf-4a0f-a0fc-232f03230527" ContentTypeId="0x0101008BF0FBB838BCD748BD563AED518C571404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fessionalServicesFileTopic xmlns="1467fb8b-7944-4202-8e80-6a5cf0d18287">Professional Services Management</ProfessionalServicesFileTopic>
    <OpportunityID xmlns="1467fb8b-7944-4202-8e80-6a5cf0d18287" xsi:nil="true"/>
    <DocCTLanguage xmlns="1467fb8b-7944-4202-8e80-6a5cf0d18287">English</DocCTLanguage>
    <ClientID xmlns="1467fb8b-7944-4202-8e80-6a5cf0d18287" xsi:nil="true"/>
    <TaxKeywordTaxHTField xmlns="1467fb8b-7944-4202-8e80-6a5cf0d18287">
      <Terms xmlns="http://schemas.microsoft.com/office/infopath/2007/PartnerControls"/>
    </TaxKeywordTaxHTField>
    <DocumentAudience xmlns="1467fb8b-7944-4202-8e80-6a5cf0d18287">CGI only</DocumentAudience>
    <Classification xmlns="1467fb8b-7944-4202-8e80-6a5cf0d18287">Internal</Classification>
    <d03104a6d34b444fb9971a4d8e41064a xmlns="1467fb8b-7944-4202-8e80-6a5cf0d18287">
      <Terms xmlns="http://schemas.microsoft.com/office/infopath/2007/PartnerControls"/>
    </d03104a6d34b444fb9971a4d8e41064a>
    <ContractID xmlns="1467fb8b-7944-4202-8e80-6a5cf0d18287" xsi:nil="true"/>
    <Abstract xmlns="1467fb8b-7944-4202-8e80-6a5cf0d18287" xsi:nil="true"/>
    <TaxCatchAll xmlns="1467fb8b-7944-4202-8e80-6a5cf0d18287">
      <Value>4</Value>
    </TaxCatchAll>
    <AuthorEnsemble xmlns="1467fb8b-7944-4202-8e80-6a5cf0d18287" xsi:nil="true"/>
    <PublishedDate xmlns="http://schemas.microsoft.com/sharepoint/v3" xsi:nil="true"/>
    <i85fc926d10a45efbad452e9e78f262a xmlns="1467fb8b-7944-4202-8e80-6a5cf0d18287">
      <Terms xmlns="http://schemas.microsoft.com/office/infopath/2007/PartnerControls"/>
    </i85fc926d10a45efbad452e9e78f262a>
    <e362f309fe2042bf8a95bf8c54dd75c6 xmlns="1467fb8b-7944-4202-8e80-6a5cf0d18287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Proposal</TermName>
          <TermId xmlns="http://schemas.microsoft.com/office/infopath/2007/PartnerControls">df1c5671-ab52-4d33-a09d-0231a1dbce1b</TermId>
        </TermInfo>
      </Terms>
    </e362f309fe2042bf8a95bf8c54dd75c6>
    <_dlc_DocId xmlns="eb30a9ab-dfc6-4f8d-bcf8-08edec0a809c">Y2VA4PHK5NEP-1989688560-492</_dlc_DocId>
    <_dlc_DocIdUrl xmlns="eb30a9ab-dfc6-4f8d-bcf8-08edec0a809c">
      <Url>https://ensemble.ent.cgi.com/client/14112/ImplEETS/_layouts/15/DocIdRedir.aspx?ID=Y2VA4PHK5NEP-1989688560-492</Url>
      <Description>Y2VA4PHK5NEP-1989688560-492</Description>
    </_dlc_DocIdUrl>
  </documentManagement>
</p:properties>
</file>

<file path=customXml/itemProps1.xml><?xml version="1.0" encoding="utf-8"?>
<ds:datastoreItem xmlns:ds="http://schemas.openxmlformats.org/officeDocument/2006/customXml" ds:itemID="{88A3449C-2F03-4172-82BB-04D1CDB22A72}"/>
</file>

<file path=customXml/itemProps2.xml><?xml version="1.0" encoding="utf-8"?>
<ds:datastoreItem xmlns:ds="http://schemas.openxmlformats.org/officeDocument/2006/customXml" ds:itemID="{169E5935-DC0D-4931-869F-14E05BC32097}"/>
</file>

<file path=customXml/itemProps3.xml><?xml version="1.0" encoding="utf-8"?>
<ds:datastoreItem xmlns:ds="http://schemas.openxmlformats.org/officeDocument/2006/customXml" ds:itemID="{3BAFD9AD-0CB5-4BE9-90BC-25DF41D95973}"/>
</file>

<file path=customXml/itemProps4.xml><?xml version="1.0" encoding="utf-8"?>
<ds:datastoreItem xmlns:ds="http://schemas.openxmlformats.org/officeDocument/2006/customXml" ds:itemID="{32EC0A03-CD2A-490F-B654-7B10F36C6067}"/>
</file>

<file path=customXml/itemProps5.xml><?xml version="1.0" encoding="utf-8"?>
<ds:datastoreItem xmlns:ds="http://schemas.openxmlformats.org/officeDocument/2006/customXml" ds:itemID="{800899CF-3B8D-4B7C-934C-4E2C24E9749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24</vt:i4>
      </vt:variant>
    </vt:vector>
  </HeadingPairs>
  <TitlesOfParts>
    <vt:vector size="27" baseType="lpstr">
      <vt:lpstr>DSRC</vt:lpstr>
      <vt:lpstr>GNSS</vt:lpstr>
      <vt:lpstr>GNSS_O1</vt:lpstr>
      <vt:lpstr>GNSS!_Ref40618284</vt:lpstr>
      <vt:lpstr>DSRC!_Ref40618302</vt:lpstr>
      <vt:lpstr>DSRC!_Ref40618721</vt:lpstr>
      <vt:lpstr>DSRC!_Ref40620120</vt:lpstr>
      <vt:lpstr>DSRC!_Ref40620261</vt:lpstr>
      <vt:lpstr>DSRC!_Ref40621241</vt:lpstr>
      <vt:lpstr>DSRC!_Ref40624244</vt:lpstr>
      <vt:lpstr>DSRC!_Ref40624670</vt:lpstr>
      <vt:lpstr>GNSS!_Ref40633049</vt:lpstr>
      <vt:lpstr>GNSS!_Ref40633115</vt:lpstr>
      <vt:lpstr>GNSS!_Ref40633134</vt:lpstr>
      <vt:lpstr>GNSS!_Ref40633162</vt:lpstr>
      <vt:lpstr>GNSS!_Ref40633227</vt:lpstr>
      <vt:lpstr>GNSS!_Ref40633263</vt:lpstr>
      <vt:lpstr>GNSS!_Ref40633301</vt:lpstr>
      <vt:lpstr>GNSS!_Ref40633308</vt:lpstr>
      <vt:lpstr>GNSS!_Toc41042877</vt:lpstr>
      <vt:lpstr>DSRC!_Toc41042886</vt:lpstr>
      <vt:lpstr>DSRC!_Toc41042887</vt:lpstr>
      <vt:lpstr>DSRC!_Toc41042889</vt:lpstr>
      <vt:lpstr>GNSS!_Toc41042897</vt:lpstr>
      <vt:lpstr>GNSS!_Toc41042898</vt:lpstr>
      <vt:lpstr>GNSS!_Toc41042900</vt:lpstr>
      <vt:lpstr>GNSS!_Toc41042902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2020-05-19T11:11:50Z</dcterms:created>
  <dcterms:modified xsi:type="dcterms:W3CDTF">2020-08-24T12:37:10Z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0x0101008BF0FBB838BCD748BD563AED518C57140400A4329078794E1C42A1771681A19CD500</vt:lpwstr>
  </property>
  <property fmtid="{D5CDD505-2E9C-101B-9397-08002B2CF9AE}" pid="3" name="_dlc_DocIdItemGuid">
    <vt:lpwstr>9586e6e7-3822-4ec9-a1d2-af4da78ec621</vt:lpwstr>
  </property>
</Properties>
</file>