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360" yWindow="360" windowWidth="15315" windowHeight="9000" tabRatio="972" firstSheet="7" activeTab="11"/>
  </bookViews>
  <sheets>
    <sheet name="Parametre" sheetId="1" r:id="rId1"/>
    <sheet name="01 Investičné náklady" sheetId="2" r:id="rId2"/>
    <sheet name="02 Zostatková hodnota" sheetId="9" r:id="rId3"/>
    <sheet name="03 Prevádzkové výdavky" sheetId="3" r:id="rId4"/>
    <sheet name="04 Príjmy" sheetId="4" r:id="rId5"/>
    <sheet name="05 Financovanie" sheetId="7" r:id="rId6"/>
    <sheet name="06 Finančná analýza" sheetId="6" r:id="rId7"/>
    <sheet name="07 Ocenenie času" sheetId="10" r:id="rId8"/>
    <sheet name="08 Prevádzkové náklady vozidiel" sheetId="16" r:id="rId9"/>
    <sheet name="09 Nehodovosť" sheetId="17" r:id="rId10"/>
    <sheet name="10 Externality" sheetId="18" r:id="rId11"/>
    <sheet name="11 Ekonomická analýza" sheetId="19" r:id="rId12"/>
  </sheets>
  <externalReferences>
    <externalReference r:id="rId13"/>
    <externalReference r:id="rId14"/>
    <externalReference r:id="rId15"/>
    <externalReference r:id="rId16"/>
  </externalReferences>
  <definedNames>
    <definedName name="_ftn1" localSheetId="1">'01 Investičné náklady'!#REF!</definedName>
    <definedName name="_ftn1" localSheetId="2">'02 Zostatková hodnota'!#REF!</definedName>
    <definedName name="_ftnref1" localSheetId="1">'01 Investičné náklady'!#REF!</definedName>
    <definedName name="_ftnref1" localSheetId="2">'02 Zostatková hodnota'!#REF!</definedName>
  </definedNames>
  <calcPr calcId="162913"/>
</workbook>
</file>

<file path=xl/calcChain.xml><?xml version="1.0" encoding="utf-8"?>
<calcChain xmlns="http://schemas.openxmlformats.org/spreadsheetml/2006/main">
  <c r="F6" i="4" l="1"/>
  <c r="G6" i="4"/>
  <c r="H6" i="4"/>
  <c r="I6" i="4"/>
  <c r="E6" i="4"/>
  <c r="F9" i="3" l="1"/>
  <c r="G9" i="3"/>
  <c r="H9" i="3"/>
  <c r="I9" i="3"/>
  <c r="E9" i="3"/>
  <c r="F13" i="4" l="1"/>
  <c r="G13" i="4"/>
  <c r="H13" i="4"/>
  <c r="I13" i="4"/>
  <c r="E13" i="4"/>
  <c r="O24" i="10" l="1"/>
  <c r="H30" i="10"/>
  <c r="J30" i="10"/>
  <c r="K30" i="10" l="1"/>
  <c r="N30" i="10"/>
  <c r="D30" i="10"/>
  <c r="O30" i="10"/>
  <c r="G30" i="10"/>
  <c r="F30" i="10"/>
  <c r="L30" i="10"/>
  <c r="E30" i="10"/>
  <c r="M30" i="10"/>
  <c r="I30" i="10"/>
  <c r="D25" i="10" l="1"/>
  <c r="E25" i="10" l="1"/>
  <c r="F25" i="10" l="1"/>
  <c r="L25" i="10"/>
  <c r="N25" i="10"/>
  <c r="O25" i="10"/>
  <c r="J25" i="10"/>
  <c r="M25" i="10"/>
  <c r="H25" i="10"/>
  <c r="G25" i="10"/>
  <c r="I25" i="10"/>
  <c r="K25" i="10"/>
  <c r="D48" i="3" l="1"/>
  <c r="F13" i="9"/>
  <c r="O33" i="10" l="1"/>
  <c r="O7" i="19" s="1"/>
  <c r="C26" i="19" l="1"/>
  <c r="D26" i="19"/>
  <c r="F24" i="19"/>
  <c r="L24" i="19"/>
  <c r="M24" i="19"/>
  <c r="N24" i="19"/>
  <c r="E24" i="19"/>
  <c r="H39" i="2"/>
  <c r="H52" i="2" s="1"/>
  <c r="I39" i="2"/>
  <c r="I52" i="2" s="1"/>
  <c r="J39" i="2"/>
  <c r="J52" i="2" s="1"/>
  <c r="K39" i="2"/>
  <c r="K52" i="2" s="1"/>
  <c r="L39" i="2"/>
  <c r="L52" i="2" s="1"/>
  <c r="M39" i="2"/>
  <c r="M52" i="2" s="1"/>
  <c r="N39" i="2"/>
  <c r="N52" i="2" s="1"/>
  <c r="H24" i="2"/>
  <c r="H26" i="2" s="1"/>
  <c r="M24" i="2"/>
  <c r="M26" i="2" s="1"/>
  <c r="H22" i="2"/>
  <c r="I22" i="2"/>
  <c r="I24" i="2" s="1"/>
  <c r="I26" i="2" s="1"/>
  <c r="M22" i="2"/>
  <c r="N22" i="2"/>
  <c r="N24" i="2" s="1"/>
  <c r="N26" i="2" s="1"/>
  <c r="H9" i="2"/>
  <c r="I9" i="2"/>
  <c r="J9" i="2"/>
  <c r="J22" i="2" s="1"/>
  <c r="J24" i="2" s="1"/>
  <c r="J26" i="2" s="1"/>
  <c r="K9" i="2"/>
  <c r="K22" i="2" s="1"/>
  <c r="K24" i="2" s="1"/>
  <c r="K26" i="2" s="1"/>
  <c r="L9" i="2"/>
  <c r="L22" i="2" s="1"/>
  <c r="L24" i="2" s="1"/>
  <c r="L26" i="2" s="1"/>
  <c r="M9" i="2"/>
  <c r="N9" i="2"/>
  <c r="H4" i="2"/>
  <c r="H34" i="2" s="1"/>
  <c r="I4" i="2"/>
  <c r="I34" i="2" s="1"/>
  <c r="J4" i="2"/>
  <c r="J34" i="2" s="1"/>
  <c r="K4" i="2"/>
  <c r="K34" i="2" s="1"/>
  <c r="L4" i="2"/>
  <c r="L34" i="2" s="1"/>
  <c r="M4" i="2"/>
  <c r="M34" i="2" s="1"/>
  <c r="N4" i="2"/>
  <c r="N34" i="2" s="1"/>
  <c r="O4" i="2"/>
  <c r="O34" i="2" s="1"/>
  <c r="E4" i="19"/>
  <c r="F4" i="19"/>
  <c r="G24" i="19" s="1"/>
  <c r="G4" i="19"/>
  <c r="H24" i="19" s="1"/>
  <c r="H4" i="19"/>
  <c r="I24" i="19" s="1"/>
  <c r="I4" i="19"/>
  <c r="J24" i="19" s="1"/>
  <c r="J4" i="19"/>
  <c r="K24" i="19" s="1"/>
  <c r="K4" i="19"/>
  <c r="L4" i="19"/>
  <c r="M4" i="19"/>
  <c r="N4" i="19"/>
  <c r="O24" i="19" s="1"/>
  <c r="O4" i="19"/>
  <c r="C34" i="6" l="1"/>
  <c r="J31" i="3" l="1"/>
  <c r="D173" i="1" l="1"/>
  <c r="E173" i="1" s="1"/>
  <c r="F173" i="1" s="1"/>
  <c r="G173" i="1" s="1"/>
  <c r="H173" i="1" s="1"/>
  <c r="I173" i="1" s="1"/>
  <c r="J173" i="1" s="1"/>
  <c r="K173" i="1" s="1"/>
  <c r="L173" i="1" s="1"/>
  <c r="M173" i="1" s="1"/>
  <c r="N173" i="1" s="1"/>
  <c r="O173" i="1" s="1"/>
  <c r="P173" i="1" s="1"/>
  <c r="Q173" i="1" s="1"/>
  <c r="R173" i="1" s="1"/>
  <c r="S173" i="1" s="1"/>
  <c r="T173" i="1" s="1"/>
  <c r="U173" i="1" s="1"/>
  <c r="V173" i="1" s="1"/>
  <c r="W173" i="1" s="1"/>
  <c r="X173" i="1" s="1"/>
  <c r="Y173" i="1" s="1"/>
  <c r="Z173" i="1" s="1"/>
  <c r="AA173" i="1" s="1"/>
  <c r="AB173" i="1" s="1"/>
  <c r="AC173" i="1" s="1"/>
  <c r="AD173" i="1" s="1"/>
  <c r="AE173" i="1" s="1"/>
  <c r="AF173" i="1" s="1"/>
  <c r="AG173" i="1" s="1"/>
  <c r="AH173" i="1" s="1"/>
  <c r="AI173" i="1" s="1"/>
  <c r="AJ173" i="1" s="1"/>
  <c r="AK173" i="1" s="1"/>
  <c r="C170" i="1"/>
  <c r="D170" i="1" s="1"/>
  <c r="E170" i="1" s="1"/>
  <c r="F170" i="1" s="1"/>
  <c r="G170" i="1" s="1"/>
  <c r="H170" i="1" s="1"/>
  <c r="I170" i="1" s="1"/>
  <c r="J170" i="1" s="1"/>
  <c r="K170" i="1" s="1"/>
  <c r="L170" i="1" s="1"/>
  <c r="M170" i="1" s="1"/>
  <c r="N170" i="1" s="1"/>
  <c r="O170" i="1" s="1"/>
  <c r="P170" i="1" s="1"/>
  <c r="Q170" i="1" s="1"/>
  <c r="R170" i="1" s="1"/>
  <c r="S170" i="1" s="1"/>
  <c r="T170" i="1" s="1"/>
  <c r="U170" i="1" s="1"/>
  <c r="V170" i="1" s="1"/>
  <c r="W170" i="1" s="1"/>
  <c r="X170" i="1" s="1"/>
  <c r="Y170" i="1" s="1"/>
  <c r="Z170" i="1" s="1"/>
  <c r="AA170" i="1" s="1"/>
  <c r="AB170" i="1" s="1"/>
  <c r="AC170" i="1" s="1"/>
  <c r="AD170" i="1" s="1"/>
  <c r="AE170" i="1" s="1"/>
  <c r="AF170" i="1" s="1"/>
  <c r="AG170" i="1" s="1"/>
  <c r="AH170" i="1" s="1"/>
  <c r="AI170" i="1" s="1"/>
  <c r="AJ170" i="1" s="1"/>
  <c r="AK170" i="1" s="1"/>
  <c r="C172" i="1"/>
  <c r="D172" i="1" s="1"/>
  <c r="E172" i="1" s="1"/>
  <c r="F172" i="1" s="1"/>
  <c r="G172" i="1" s="1"/>
  <c r="H172" i="1" s="1"/>
  <c r="I172" i="1" s="1"/>
  <c r="J172" i="1" s="1"/>
  <c r="K172" i="1" s="1"/>
  <c r="L172" i="1" s="1"/>
  <c r="M172" i="1" s="1"/>
  <c r="N172" i="1" s="1"/>
  <c r="O172" i="1" s="1"/>
  <c r="P172" i="1" s="1"/>
  <c r="Q172" i="1" s="1"/>
  <c r="R172" i="1" s="1"/>
  <c r="S172" i="1" s="1"/>
  <c r="T172" i="1" s="1"/>
  <c r="U172" i="1" s="1"/>
  <c r="V172" i="1" s="1"/>
  <c r="W172" i="1" s="1"/>
  <c r="X172" i="1" s="1"/>
  <c r="Y172" i="1" s="1"/>
  <c r="Z172" i="1" s="1"/>
  <c r="AA172" i="1" s="1"/>
  <c r="AB172" i="1" s="1"/>
  <c r="AC172" i="1" s="1"/>
  <c r="AD172" i="1" s="1"/>
  <c r="AE172" i="1" s="1"/>
  <c r="AF172" i="1" s="1"/>
  <c r="AG172" i="1" s="1"/>
  <c r="AH172" i="1" s="1"/>
  <c r="AI172" i="1" s="1"/>
  <c r="AJ172" i="1" s="1"/>
  <c r="AK172" i="1" s="1"/>
  <c r="C171" i="1"/>
  <c r="D171" i="1"/>
  <c r="E171" i="1" s="1"/>
  <c r="F171" i="1" s="1"/>
  <c r="G171" i="1" s="1"/>
  <c r="H171" i="1" s="1"/>
  <c r="I171" i="1" s="1"/>
  <c r="J171" i="1" s="1"/>
  <c r="K171" i="1" s="1"/>
  <c r="L171" i="1"/>
  <c r="M171" i="1" s="1"/>
  <c r="N171" i="1" s="1"/>
  <c r="O171" i="1" s="1"/>
  <c r="P171" i="1" s="1"/>
  <c r="Q171" i="1" s="1"/>
  <c r="R171" i="1" s="1"/>
  <c r="S171" i="1" s="1"/>
  <c r="T171" i="1" s="1"/>
  <c r="U171" i="1" s="1"/>
  <c r="V171" i="1" s="1"/>
  <c r="W171" i="1" s="1"/>
  <c r="X171" i="1" s="1"/>
  <c r="Y171" i="1" s="1"/>
  <c r="Z171" i="1" s="1"/>
  <c r="AA171" i="1" s="1"/>
  <c r="AB171" i="1" s="1"/>
  <c r="AC171" i="1" s="1"/>
  <c r="AD171" i="1" s="1"/>
  <c r="AE171" i="1" s="1"/>
  <c r="AF171" i="1" s="1"/>
  <c r="AG171" i="1" s="1"/>
  <c r="AH171" i="1" s="1"/>
  <c r="AI171" i="1" s="1"/>
  <c r="AJ171" i="1" s="1"/>
  <c r="AK171" i="1" s="1"/>
  <c r="D105" i="1"/>
  <c r="E105" i="1"/>
  <c r="F105" i="1" s="1"/>
  <c r="G105" i="1" s="1"/>
  <c r="H105" i="1" s="1"/>
  <c r="I105" i="1" s="1"/>
  <c r="J105" i="1" s="1"/>
  <c r="K105" i="1" s="1"/>
  <c r="L105" i="1" s="1"/>
  <c r="M105" i="1" s="1"/>
  <c r="N105" i="1" s="1"/>
  <c r="O105" i="1" s="1"/>
  <c r="P105" i="1" s="1"/>
  <c r="Q105" i="1" s="1"/>
  <c r="R105" i="1" s="1"/>
  <c r="S105" i="1" s="1"/>
  <c r="T105" i="1" s="1"/>
  <c r="U105" i="1" s="1"/>
  <c r="V105" i="1" s="1"/>
  <c r="W105" i="1" s="1"/>
  <c r="X105" i="1" s="1"/>
  <c r="Y105" i="1" s="1"/>
  <c r="Z105" i="1" s="1"/>
  <c r="AA105" i="1" s="1"/>
  <c r="AB105" i="1" s="1"/>
  <c r="AC105" i="1" s="1"/>
  <c r="AD105" i="1" s="1"/>
  <c r="AE105" i="1" s="1"/>
  <c r="AF105" i="1" s="1"/>
  <c r="AG105" i="1" s="1"/>
  <c r="AH105" i="1" s="1"/>
  <c r="AI105" i="1" s="1"/>
  <c r="AJ105" i="1" s="1"/>
  <c r="AK105" i="1" s="1"/>
  <c r="K104" i="1"/>
  <c r="L104" i="1" s="1"/>
  <c r="M104" i="1" s="1"/>
  <c r="N104" i="1" s="1"/>
  <c r="O104" i="1" s="1"/>
  <c r="P104" i="1" s="1"/>
  <c r="Q104" i="1" s="1"/>
  <c r="R104" i="1" s="1"/>
  <c r="S104" i="1" s="1"/>
  <c r="T104" i="1" s="1"/>
  <c r="U104" i="1" s="1"/>
  <c r="V104" i="1" s="1"/>
  <c r="W104" i="1" s="1"/>
  <c r="X104" i="1" s="1"/>
  <c r="Y104" i="1" s="1"/>
  <c r="Z104" i="1" s="1"/>
  <c r="AA104" i="1" s="1"/>
  <c r="AB104" i="1" s="1"/>
  <c r="AC104" i="1" s="1"/>
  <c r="AD104" i="1" s="1"/>
  <c r="AE104" i="1" s="1"/>
  <c r="AF104" i="1" s="1"/>
  <c r="AG104" i="1" s="1"/>
  <c r="AH104" i="1" s="1"/>
  <c r="AI104" i="1" s="1"/>
  <c r="AJ104" i="1" s="1"/>
  <c r="AK104" i="1" s="1"/>
  <c r="D104" i="1"/>
  <c r="E104" i="1" s="1"/>
  <c r="F104" i="1" s="1"/>
  <c r="G104" i="1" s="1"/>
  <c r="H104" i="1" s="1"/>
  <c r="I104" i="1" s="1"/>
  <c r="J104" i="1" s="1"/>
  <c r="D103" i="1"/>
  <c r="E103" i="1" s="1"/>
  <c r="F103" i="1" s="1"/>
  <c r="G103" i="1" s="1"/>
  <c r="H103" i="1" s="1"/>
  <c r="I103" i="1" s="1"/>
  <c r="J103" i="1" s="1"/>
  <c r="K103" i="1" s="1"/>
  <c r="L103" i="1" s="1"/>
  <c r="M103" i="1" s="1"/>
  <c r="N103" i="1" s="1"/>
  <c r="O103" i="1" s="1"/>
  <c r="P103" i="1" s="1"/>
  <c r="Q103" i="1" s="1"/>
  <c r="R103" i="1" s="1"/>
  <c r="S103" i="1" s="1"/>
  <c r="T103" i="1" s="1"/>
  <c r="U103" i="1" s="1"/>
  <c r="V103" i="1" s="1"/>
  <c r="W103" i="1" s="1"/>
  <c r="X103" i="1" s="1"/>
  <c r="Y103" i="1" s="1"/>
  <c r="Z103" i="1" s="1"/>
  <c r="AA103" i="1" s="1"/>
  <c r="AB103" i="1" s="1"/>
  <c r="AC103" i="1" s="1"/>
  <c r="AD103" i="1" s="1"/>
  <c r="AE103" i="1" s="1"/>
  <c r="AF103" i="1" s="1"/>
  <c r="AG103" i="1" s="1"/>
  <c r="AH103" i="1" s="1"/>
  <c r="AI103" i="1" s="1"/>
  <c r="AJ103" i="1" s="1"/>
  <c r="AK103" i="1" s="1"/>
  <c r="D102" i="1"/>
  <c r="E102" i="1" s="1"/>
  <c r="F102" i="1" s="1"/>
  <c r="G102" i="1" s="1"/>
  <c r="H102" i="1" s="1"/>
  <c r="I102" i="1" s="1"/>
  <c r="J102" i="1" s="1"/>
  <c r="K102" i="1" s="1"/>
  <c r="L102" i="1" s="1"/>
  <c r="M102" i="1" s="1"/>
  <c r="N102" i="1" s="1"/>
  <c r="O102" i="1" s="1"/>
  <c r="P102" i="1" s="1"/>
  <c r="Q102" i="1" s="1"/>
  <c r="R102" i="1" s="1"/>
  <c r="S102" i="1" s="1"/>
  <c r="T102" i="1" s="1"/>
  <c r="U102" i="1" s="1"/>
  <c r="V102" i="1" s="1"/>
  <c r="W102" i="1" s="1"/>
  <c r="X102" i="1" s="1"/>
  <c r="Y102" i="1" s="1"/>
  <c r="Z102" i="1" s="1"/>
  <c r="AA102" i="1" s="1"/>
  <c r="AB102" i="1" s="1"/>
  <c r="AC102" i="1" s="1"/>
  <c r="AD102" i="1" s="1"/>
  <c r="AE102" i="1" s="1"/>
  <c r="AF102" i="1" s="1"/>
  <c r="AG102" i="1" s="1"/>
  <c r="AH102" i="1" s="1"/>
  <c r="AI102" i="1" s="1"/>
  <c r="AJ102" i="1" s="1"/>
  <c r="AK102" i="1" s="1"/>
  <c r="N100" i="1"/>
  <c r="O100" i="1" s="1"/>
  <c r="P100" i="1" s="1"/>
  <c r="Q100" i="1" s="1"/>
  <c r="R100" i="1" s="1"/>
  <c r="S100" i="1" s="1"/>
  <c r="T100" i="1" s="1"/>
  <c r="U100" i="1" s="1"/>
  <c r="V100" i="1" s="1"/>
  <c r="W100" i="1" s="1"/>
  <c r="X100" i="1" s="1"/>
  <c r="Y100" i="1" s="1"/>
  <c r="Z100" i="1" s="1"/>
  <c r="AA100" i="1" s="1"/>
  <c r="AB100" i="1" s="1"/>
  <c r="AC100" i="1" s="1"/>
  <c r="AD100" i="1" s="1"/>
  <c r="AE100" i="1" s="1"/>
  <c r="AF100" i="1" s="1"/>
  <c r="AG100" i="1" s="1"/>
  <c r="AH100" i="1" s="1"/>
  <c r="AI100" i="1" s="1"/>
  <c r="AJ100" i="1" s="1"/>
  <c r="AK100" i="1" s="1"/>
  <c r="E100" i="1"/>
  <c r="F100" i="1" s="1"/>
  <c r="G100" i="1" s="1"/>
  <c r="H100" i="1" s="1"/>
  <c r="I100" i="1" s="1"/>
  <c r="J100" i="1" s="1"/>
  <c r="K100" i="1" s="1"/>
  <c r="L100" i="1" s="1"/>
  <c r="M100" i="1" s="1"/>
  <c r="M98" i="1"/>
  <c r="N98" i="1" s="1"/>
  <c r="O98" i="1" s="1"/>
  <c r="P98" i="1" s="1"/>
  <c r="Q98" i="1" s="1"/>
  <c r="R98" i="1" s="1"/>
  <c r="S98" i="1" s="1"/>
  <c r="T98" i="1" s="1"/>
  <c r="U98" i="1" s="1"/>
  <c r="V98" i="1" s="1"/>
  <c r="W98" i="1" s="1"/>
  <c r="X98" i="1" s="1"/>
  <c r="Y98" i="1" s="1"/>
  <c r="Z98" i="1" s="1"/>
  <c r="AA98" i="1" s="1"/>
  <c r="AB98" i="1" s="1"/>
  <c r="AC98" i="1" s="1"/>
  <c r="AD98" i="1" s="1"/>
  <c r="AE98" i="1" s="1"/>
  <c r="AF98" i="1" s="1"/>
  <c r="AG98" i="1" s="1"/>
  <c r="AH98" i="1" s="1"/>
  <c r="AI98" i="1" s="1"/>
  <c r="AJ98" i="1" s="1"/>
  <c r="AK98" i="1" s="1"/>
  <c r="D101" i="1"/>
  <c r="E101" i="1"/>
  <c r="F101" i="1"/>
  <c r="G101" i="1" s="1"/>
  <c r="H101" i="1" s="1"/>
  <c r="I101" i="1" s="1"/>
  <c r="J101" i="1" s="1"/>
  <c r="K101" i="1" s="1"/>
  <c r="L101" i="1" s="1"/>
  <c r="M101" i="1" s="1"/>
  <c r="N101" i="1" s="1"/>
  <c r="O101" i="1" s="1"/>
  <c r="P101" i="1" s="1"/>
  <c r="Q101" i="1" s="1"/>
  <c r="R101" i="1" s="1"/>
  <c r="S101" i="1" s="1"/>
  <c r="T101" i="1" s="1"/>
  <c r="U101" i="1" s="1"/>
  <c r="V101" i="1" s="1"/>
  <c r="W101" i="1" s="1"/>
  <c r="X101" i="1" s="1"/>
  <c r="Y101" i="1" s="1"/>
  <c r="Z101" i="1" s="1"/>
  <c r="AA101" i="1" s="1"/>
  <c r="AB101" i="1" s="1"/>
  <c r="AC101" i="1" s="1"/>
  <c r="AD101" i="1" s="1"/>
  <c r="AE101" i="1" s="1"/>
  <c r="AF101" i="1" s="1"/>
  <c r="AG101" i="1" s="1"/>
  <c r="AH101" i="1" s="1"/>
  <c r="AI101" i="1" s="1"/>
  <c r="AJ101" i="1" s="1"/>
  <c r="AK101" i="1" s="1"/>
  <c r="D100" i="1"/>
  <c r="D99" i="1"/>
  <c r="E99" i="1"/>
  <c r="F99" i="1" s="1"/>
  <c r="G99" i="1" s="1"/>
  <c r="H99" i="1" s="1"/>
  <c r="I99" i="1" s="1"/>
  <c r="J99" i="1" s="1"/>
  <c r="K99" i="1" s="1"/>
  <c r="L99" i="1" s="1"/>
  <c r="M99" i="1" s="1"/>
  <c r="N99" i="1" s="1"/>
  <c r="O99" i="1" s="1"/>
  <c r="P99" i="1" s="1"/>
  <c r="Q99" i="1" s="1"/>
  <c r="R99" i="1" s="1"/>
  <c r="S99" i="1" s="1"/>
  <c r="T99" i="1" s="1"/>
  <c r="U99" i="1" s="1"/>
  <c r="V99" i="1" s="1"/>
  <c r="W99" i="1" s="1"/>
  <c r="X99" i="1" s="1"/>
  <c r="Y99" i="1" s="1"/>
  <c r="Z99" i="1" s="1"/>
  <c r="AA99" i="1" s="1"/>
  <c r="AB99" i="1" s="1"/>
  <c r="AC99" i="1" s="1"/>
  <c r="AD99" i="1" s="1"/>
  <c r="AE99" i="1" s="1"/>
  <c r="AF99" i="1" s="1"/>
  <c r="AG99" i="1" s="1"/>
  <c r="AH99" i="1" s="1"/>
  <c r="AI99" i="1" s="1"/>
  <c r="AJ99" i="1" s="1"/>
  <c r="AK99" i="1" s="1"/>
  <c r="D98" i="1"/>
  <c r="E98" i="1"/>
  <c r="F98" i="1" s="1"/>
  <c r="G98" i="1" s="1"/>
  <c r="H98" i="1" s="1"/>
  <c r="I98" i="1" s="1"/>
  <c r="J98" i="1" s="1"/>
  <c r="K98" i="1" s="1"/>
  <c r="L98" i="1" s="1"/>
  <c r="D96" i="1"/>
  <c r="E96" i="1"/>
  <c r="F96" i="1" s="1"/>
  <c r="G96" i="1" s="1"/>
  <c r="H96" i="1" s="1"/>
  <c r="I96" i="1" s="1"/>
  <c r="J96" i="1" s="1"/>
  <c r="K96" i="1" s="1"/>
  <c r="L96" i="1" s="1"/>
  <c r="M96" i="1" s="1"/>
  <c r="N96" i="1" s="1"/>
  <c r="O96" i="1" s="1"/>
  <c r="P96" i="1" s="1"/>
  <c r="Q96" i="1" s="1"/>
  <c r="R96" i="1" s="1"/>
  <c r="S96" i="1" s="1"/>
  <c r="T96" i="1" s="1"/>
  <c r="U96" i="1" s="1"/>
  <c r="V96" i="1" s="1"/>
  <c r="W96" i="1" s="1"/>
  <c r="X96" i="1" s="1"/>
  <c r="Y96" i="1" s="1"/>
  <c r="Z96" i="1" s="1"/>
  <c r="AA96" i="1" s="1"/>
  <c r="AB96" i="1" s="1"/>
  <c r="AC96" i="1" s="1"/>
  <c r="AD96" i="1" s="1"/>
  <c r="AE96" i="1" s="1"/>
  <c r="AF96" i="1" s="1"/>
  <c r="AG96" i="1" s="1"/>
  <c r="AH96" i="1" s="1"/>
  <c r="AI96" i="1" s="1"/>
  <c r="AJ96" i="1" s="1"/>
  <c r="AK96" i="1" s="1"/>
  <c r="D97" i="1"/>
  <c r="E97" i="1"/>
  <c r="F97" i="1" s="1"/>
  <c r="G97" i="1" s="1"/>
  <c r="H97" i="1" s="1"/>
  <c r="I97" i="1" s="1"/>
  <c r="J97" i="1" s="1"/>
  <c r="K97" i="1" s="1"/>
  <c r="L97" i="1" s="1"/>
  <c r="M97" i="1" s="1"/>
  <c r="N97" i="1" s="1"/>
  <c r="O97" i="1" s="1"/>
  <c r="P97" i="1" s="1"/>
  <c r="Q97" i="1" s="1"/>
  <c r="R97" i="1" s="1"/>
  <c r="S97" i="1" s="1"/>
  <c r="T97" i="1" s="1"/>
  <c r="U97" i="1" s="1"/>
  <c r="V97" i="1" s="1"/>
  <c r="W97" i="1" s="1"/>
  <c r="X97" i="1" s="1"/>
  <c r="Y97" i="1" s="1"/>
  <c r="Z97" i="1" s="1"/>
  <c r="AA97" i="1" s="1"/>
  <c r="AB97" i="1" s="1"/>
  <c r="AC97" i="1" s="1"/>
  <c r="AD97" i="1" s="1"/>
  <c r="AE97" i="1" s="1"/>
  <c r="AF97" i="1" s="1"/>
  <c r="AG97" i="1" s="1"/>
  <c r="AH97" i="1" s="1"/>
  <c r="AI97" i="1" s="1"/>
  <c r="AJ97" i="1" s="1"/>
  <c r="AK97" i="1" s="1"/>
  <c r="F7" i="9"/>
  <c r="F5" i="9"/>
  <c r="D12" i="9"/>
  <c r="D11" i="9"/>
  <c r="D10" i="9"/>
  <c r="D9" i="9"/>
  <c r="G9" i="9" s="1"/>
  <c r="D8" i="9"/>
  <c r="D7" i="9"/>
  <c r="D6" i="9"/>
  <c r="D5" i="9"/>
  <c r="D4" i="9"/>
  <c r="G75" i="1"/>
  <c r="G74" i="1"/>
  <c r="G73" i="1"/>
  <c r="G72" i="1"/>
  <c r="G71" i="1"/>
  <c r="G70" i="1"/>
  <c r="G69" i="1"/>
  <c r="P17" i="18"/>
  <c r="O17" i="18"/>
  <c r="N17" i="18"/>
  <c r="M17" i="18"/>
  <c r="L17" i="18"/>
  <c r="K17" i="18"/>
  <c r="J17" i="18"/>
  <c r="I17" i="18"/>
  <c r="H17" i="18"/>
  <c r="G17" i="18"/>
  <c r="F17" i="18"/>
  <c r="E17" i="18"/>
  <c r="D17" i="18"/>
  <c r="P8" i="18"/>
  <c r="O8" i="18"/>
  <c r="N8" i="18"/>
  <c r="M8" i="18"/>
  <c r="L8" i="18"/>
  <c r="K8" i="18"/>
  <c r="J8" i="18"/>
  <c r="I8" i="18"/>
  <c r="H8" i="18"/>
  <c r="G8" i="18"/>
  <c r="F8" i="18"/>
  <c r="E8" i="18"/>
  <c r="C8" i="18" s="1"/>
  <c r="D8" i="18"/>
  <c r="P25" i="18"/>
  <c r="O25" i="18"/>
  <c r="N25" i="18"/>
  <c r="M25" i="18"/>
  <c r="L25" i="18"/>
  <c r="K25" i="18"/>
  <c r="K26" i="18" s="1"/>
  <c r="J25" i="18"/>
  <c r="I25" i="18"/>
  <c r="H25" i="18"/>
  <c r="G25" i="18"/>
  <c r="F25" i="18"/>
  <c r="E25" i="18"/>
  <c r="D25" i="18"/>
  <c r="C16" i="18"/>
  <c r="C7" i="18"/>
  <c r="P24" i="18"/>
  <c r="P26" i="18" s="1"/>
  <c r="O24" i="18"/>
  <c r="N24" i="18"/>
  <c r="M24" i="18"/>
  <c r="L24" i="18"/>
  <c r="K24" i="18"/>
  <c r="J24" i="18"/>
  <c r="I24" i="18"/>
  <c r="H24" i="18"/>
  <c r="H26" i="18" s="1"/>
  <c r="G24" i="18"/>
  <c r="F24" i="18"/>
  <c r="E24" i="18"/>
  <c r="D24" i="18"/>
  <c r="P23" i="18"/>
  <c r="O23" i="18"/>
  <c r="O26" i="18" s="1"/>
  <c r="N23" i="18"/>
  <c r="N26" i="18" s="1"/>
  <c r="M23" i="18"/>
  <c r="M26" i="18" s="1"/>
  <c r="L23" i="18"/>
  <c r="L26" i="18" s="1"/>
  <c r="K23" i="18"/>
  <c r="J23" i="18"/>
  <c r="I23" i="18"/>
  <c r="H23" i="18"/>
  <c r="G23" i="18"/>
  <c r="G26" i="18" s="1"/>
  <c r="F23" i="18"/>
  <c r="E23" i="18"/>
  <c r="E26" i="18" s="1"/>
  <c r="D23" i="18"/>
  <c r="C15" i="18"/>
  <c r="C14" i="18"/>
  <c r="C6" i="18"/>
  <c r="C5" i="18"/>
  <c r="G13" i="18"/>
  <c r="G22" i="18" s="1"/>
  <c r="H13" i="18"/>
  <c r="H22" i="18" s="1"/>
  <c r="I13" i="18"/>
  <c r="I22" i="18" s="1"/>
  <c r="J13" i="18"/>
  <c r="J22" i="18" s="1"/>
  <c r="K13" i="18"/>
  <c r="K22" i="18" s="1"/>
  <c r="L13" i="18"/>
  <c r="L22" i="18" s="1"/>
  <c r="M13" i="18"/>
  <c r="M22" i="18" s="1"/>
  <c r="N13" i="18"/>
  <c r="N22" i="18" s="1"/>
  <c r="O13" i="18"/>
  <c r="O22" i="18" s="1"/>
  <c r="P13" i="18"/>
  <c r="P22" i="18" s="1"/>
  <c r="G4" i="18"/>
  <c r="H4" i="18"/>
  <c r="I4" i="18"/>
  <c r="J4" i="18"/>
  <c r="K4" i="18"/>
  <c r="L4" i="18"/>
  <c r="M4" i="18"/>
  <c r="N4" i="18"/>
  <c r="O4" i="18"/>
  <c r="P4" i="18"/>
  <c r="P28" i="17"/>
  <c r="O28" i="17"/>
  <c r="O29" i="17" s="1"/>
  <c r="N28" i="17"/>
  <c r="M28" i="17"/>
  <c r="L28" i="17"/>
  <c r="K28" i="17"/>
  <c r="J28" i="17"/>
  <c r="I28" i="17"/>
  <c r="H28" i="17"/>
  <c r="G28" i="17"/>
  <c r="G29" i="17" s="1"/>
  <c r="F28" i="17"/>
  <c r="E28" i="17"/>
  <c r="D28" i="17"/>
  <c r="P27" i="17"/>
  <c r="O27" i="17"/>
  <c r="N27" i="17"/>
  <c r="M27" i="17"/>
  <c r="L27" i="17"/>
  <c r="K27" i="17"/>
  <c r="J27" i="17"/>
  <c r="I27" i="17"/>
  <c r="H27" i="17"/>
  <c r="G27" i="17"/>
  <c r="F27" i="17"/>
  <c r="E27" i="17"/>
  <c r="D27" i="17"/>
  <c r="P26" i="17"/>
  <c r="O26" i="17"/>
  <c r="N26" i="17"/>
  <c r="M26" i="17"/>
  <c r="L26" i="17"/>
  <c r="K26" i="17"/>
  <c r="J26" i="17"/>
  <c r="I26" i="17"/>
  <c r="H26" i="17"/>
  <c r="G26" i="17"/>
  <c r="F26" i="17"/>
  <c r="E26" i="17"/>
  <c r="D26" i="17"/>
  <c r="P25" i="17"/>
  <c r="O25" i="17"/>
  <c r="N25" i="17"/>
  <c r="N29" i="17" s="1"/>
  <c r="M25" i="17"/>
  <c r="L25" i="17"/>
  <c r="K25" i="17"/>
  <c r="J25" i="17"/>
  <c r="I25" i="17"/>
  <c r="H25" i="17"/>
  <c r="G25" i="17"/>
  <c r="F25" i="17"/>
  <c r="F29" i="17" s="1"/>
  <c r="E25" i="17"/>
  <c r="D25" i="17"/>
  <c r="P19" i="17"/>
  <c r="O19" i="17"/>
  <c r="N19" i="17"/>
  <c r="M19" i="17"/>
  <c r="L19" i="17"/>
  <c r="K19" i="17"/>
  <c r="J19" i="17"/>
  <c r="I19" i="17"/>
  <c r="H19" i="17"/>
  <c r="G19" i="17"/>
  <c r="F19" i="17"/>
  <c r="E19" i="17"/>
  <c r="D19" i="17"/>
  <c r="P9" i="17"/>
  <c r="O9" i="17"/>
  <c r="N9" i="17"/>
  <c r="M9" i="17"/>
  <c r="L9" i="17"/>
  <c r="K9" i="17"/>
  <c r="J9" i="17"/>
  <c r="I9" i="17"/>
  <c r="H9" i="17"/>
  <c r="C9" i="17" s="1"/>
  <c r="G9" i="17"/>
  <c r="F9" i="17"/>
  <c r="E9" i="17"/>
  <c r="D9" i="17"/>
  <c r="C18" i="17"/>
  <c r="C17" i="17"/>
  <c r="C16" i="17"/>
  <c r="C15" i="17"/>
  <c r="C8" i="17"/>
  <c r="C7" i="17"/>
  <c r="C6" i="17"/>
  <c r="C5" i="17"/>
  <c r="G14" i="17"/>
  <c r="G24" i="17" s="1"/>
  <c r="H14" i="17"/>
  <c r="H24" i="17" s="1"/>
  <c r="I14" i="17"/>
  <c r="I24" i="17" s="1"/>
  <c r="J14" i="17"/>
  <c r="J24" i="17" s="1"/>
  <c r="K14" i="17"/>
  <c r="K24" i="17" s="1"/>
  <c r="L14" i="17"/>
  <c r="L24" i="17" s="1"/>
  <c r="M14" i="17"/>
  <c r="M24" i="17" s="1"/>
  <c r="N14" i="17"/>
  <c r="N24" i="17" s="1"/>
  <c r="O14" i="17"/>
  <c r="O24" i="17" s="1"/>
  <c r="P14" i="17"/>
  <c r="P24" i="17" s="1"/>
  <c r="G4" i="17"/>
  <c r="H4" i="17"/>
  <c r="I4" i="17"/>
  <c r="J4" i="17"/>
  <c r="K4" i="17"/>
  <c r="L4" i="17"/>
  <c r="M4" i="17"/>
  <c r="N4" i="17"/>
  <c r="O4" i="17"/>
  <c r="P4" i="17"/>
  <c r="N23" i="16"/>
  <c r="P22" i="16"/>
  <c r="O22" i="16"/>
  <c r="N22" i="16"/>
  <c r="M22" i="16"/>
  <c r="L22" i="16"/>
  <c r="K22" i="16"/>
  <c r="J22" i="16"/>
  <c r="I22" i="16"/>
  <c r="H22" i="16"/>
  <c r="G22" i="16"/>
  <c r="F22" i="16"/>
  <c r="E22" i="16"/>
  <c r="D22" i="16"/>
  <c r="P21" i="16"/>
  <c r="P23" i="16" s="1"/>
  <c r="O21" i="16"/>
  <c r="N21" i="16"/>
  <c r="M21" i="16"/>
  <c r="M23" i="16" s="1"/>
  <c r="L21" i="16"/>
  <c r="K21" i="16"/>
  <c r="K23" i="16" s="1"/>
  <c r="J21" i="16"/>
  <c r="J23" i="16" s="1"/>
  <c r="I21" i="16"/>
  <c r="H21" i="16"/>
  <c r="H23" i="16" s="1"/>
  <c r="G21" i="16"/>
  <c r="F21" i="16"/>
  <c r="F23" i="16" s="1"/>
  <c r="E21" i="16"/>
  <c r="D21" i="16"/>
  <c r="D23" i="16" s="1"/>
  <c r="P15" i="16"/>
  <c r="O15" i="16"/>
  <c r="N15" i="16"/>
  <c r="M15" i="16"/>
  <c r="L15" i="16"/>
  <c r="K15" i="16"/>
  <c r="J15" i="16"/>
  <c r="I15" i="16"/>
  <c r="H15" i="16"/>
  <c r="G15" i="16"/>
  <c r="F15" i="16"/>
  <c r="E15" i="16"/>
  <c r="D15" i="16"/>
  <c r="P7" i="16"/>
  <c r="O7" i="16"/>
  <c r="N7" i="16"/>
  <c r="M7" i="16"/>
  <c r="L7" i="16"/>
  <c r="K7" i="16"/>
  <c r="J7" i="16"/>
  <c r="I7" i="16"/>
  <c r="H7" i="16"/>
  <c r="G7" i="16"/>
  <c r="F7" i="16"/>
  <c r="C7" i="16" s="1"/>
  <c r="E7" i="16"/>
  <c r="D7" i="16"/>
  <c r="C14" i="16"/>
  <c r="C13" i="16"/>
  <c r="C6" i="16"/>
  <c r="C5" i="16"/>
  <c r="G12" i="16"/>
  <c r="G20" i="16" s="1"/>
  <c r="H12" i="16"/>
  <c r="H20" i="16" s="1"/>
  <c r="I12" i="16"/>
  <c r="I20" i="16" s="1"/>
  <c r="J12" i="16"/>
  <c r="J20" i="16" s="1"/>
  <c r="K12" i="16"/>
  <c r="K20" i="16" s="1"/>
  <c r="L12" i="16"/>
  <c r="L20" i="16" s="1"/>
  <c r="M12" i="16"/>
  <c r="M20" i="16" s="1"/>
  <c r="N12" i="16"/>
  <c r="N20" i="16" s="1"/>
  <c r="O12" i="16"/>
  <c r="O20" i="16" s="1"/>
  <c r="P12" i="16"/>
  <c r="P20" i="16" s="1"/>
  <c r="G4" i="16"/>
  <c r="H4" i="16"/>
  <c r="I4" i="16"/>
  <c r="J4" i="16"/>
  <c r="K4" i="16"/>
  <c r="L4" i="16"/>
  <c r="M4" i="16"/>
  <c r="N4" i="16"/>
  <c r="O4" i="16"/>
  <c r="P4" i="16"/>
  <c r="J33" i="10"/>
  <c r="J7" i="19" s="1"/>
  <c r="I33" i="10"/>
  <c r="I7" i="19" s="1"/>
  <c r="H33" i="10"/>
  <c r="H7" i="19" s="1"/>
  <c r="G33" i="10"/>
  <c r="G7" i="19" s="1"/>
  <c r="F33" i="10"/>
  <c r="F7" i="19" s="1"/>
  <c r="E33" i="10"/>
  <c r="E7" i="19" s="1"/>
  <c r="D33" i="10"/>
  <c r="D7" i="19" s="1"/>
  <c r="C31" i="10"/>
  <c r="C32" i="10"/>
  <c r="C26" i="10"/>
  <c r="C27" i="10"/>
  <c r="N24" i="10"/>
  <c r="M24" i="10"/>
  <c r="L24" i="10"/>
  <c r="K24" i="10"/>
  <c r="J24" i="10"/>
  <c r="I24" i="10"/>
  <c r="H24" i="10"/>
  <c r="G24" i="10"/>
  <c r="F24" i="10"/>
  <c r="E24" i="10"/>
  <c r="D24" i="10"/>
  <c r="C23" i="10"/>
  <c r="C22" i="10"/>
  <c r="O16" i="10"/>
  <c r="N16" i="10"/>
  <c r="M16" i="10"/>
  <c r="L16" i="10"/>
  <c r="K16" i="10"/>
  <c r="J16" i="10"/>
  <c r="I16" i="10"/>
  <c r="H16" i="10"/>
  <c r="G16" i="10"/>
  <c r="F16" i="10"/>
  <c r="E16" i="10"/>
  <c r="D16" i="10"/>
  <c r="C15" i="10"/>
  <c r="C14" i="10"/>
  <c r="C13" i="10"/>
  <c r="C9" i="10"/>
  <c r="N7" i="10"/>
  <c r="M7" i="10"/>
  <c r="L7" i="10"/>
  <c r="K7" i="10"/>
  <c r="J7" i="10"/>
  <c r="I7" i="10"/>
  <c r="H7" i="10"/>
  <c r="G7" i="10"/>
  <c r="F7" i="10"/>
  <c r="E7" i="10"/>
  <c r="C10" i="10"/>
  <c r="C8" i="10"/>
  <c r="C6" i="10"/>
  <c r="C5" i="10"/>
  <c r="D7" i="10"/>
  <c r="G4" i="10"/>
  <c r="G21" i="10" s="1"/>
  <c r="H4" i="10"/>
  <c r="H21" i="10" s="1"/>
  <c r="I4" i="10"/>
  <c r="I21" i="10" s="1"/>
  <c r="J4" i="10"/>
  <c r="J21" i="10" s="1"/>
  <c r="K4" i="10"/>
  <c r="K21" i="10" s="1"/>
  <c r="L4" i="10"/>
  <c r="L21" i="10" s="1"/>
  <c r="M4" i="10"/>
  <c r="M21" i="10" s="1"/>
  <c r="N4" i="10"/>
  <c r="N21" i="10" s="1"/>
  <c r="O4" i="10"/>
  <c r="O21" i="10" s="1"/>
  <c r="O22" i="4"/>
  <c r="N22" i="4"/>
  <c r="M22" i="4"/>
  <c r="L22" i="4"/>
  <c r="K22" i="4"/>
  <c r="J22" i="4"/>
  <c r="I22" i="4"/>
  <c r="H22" i="4"/>
  <c r="G22" i="4"/>
  <c r="F22" i="4"/>
  <c r="E22" i="4"/>
  <c r="D22" i="4"/>
  <c r="O21" i="4"/>
  <c r="N21" i="4"/>
  <c r="M21" i="4"/>
  <c r="L21" i="4"/>
  <c r="K21" i="4"/>
  <c r="J21" i="4"/>
  <c r="I21" i="4"/>
  <c r="H21" i="4"/>
  <c r="G21" i="4"/>
  <c r="F21" i="4"/>
  <c r="E21" i="4"/>
  <c r="D21" i="4"/>
  <c r="O15" i="4"/>
  <c r="O9" i="19" s="1"/>
  <c r="N15" i="4"/>
  <c r="N9" i="19" s="1"/>
  <c r="M15" i="4"/>
  <c r="M9" i="19" s="1"/>
  <c r="L15" i="4"/>
  <c r="L9" i="19" s="1"/>
  <c r="K15" i="4"/>
  <c r="K9" i="19" s="1"/>
  <c r="J15" i="4"/>
  <c r="J9" i="19" s="1"/>
  <c r="J14" i="19" s="1"/>
  <c r="I15" i="4"/>
  <c r="I9" i="19" s="1"/>
  <c r="I14" i="19" s="1"/>
  <c r="H15" i="4"/>
  <c r="H9" i="19" s="1"/>
  <c r="H14" i="19" s="1"/>
  <c r="G15" i="4"/>
  <c r="G9" i="19" s="1"/>
  <c r="G14" i="19" s="1"/>
  <c r="F15" i="4"/>
  <c r="F9" i="19" s="1"/>
  <c r="F14" i="19" s="1"/>
  <c r="E15" i="4"/>
  <c r="D15" i="4"/>
  <c r="D9" i="19" s="1"/>
  <c r="D14" i="19" s="1"/>
  <c r="O7" i="4"/>
  <c r="N7" i="4"/>
  <c r="M7" i="4"/>
  <c r="L7" i="4"/>
  <c r="K7" i="4"/>
  <c r="J7" i="4"/>
  <c r="I7" i="4"/>
  <c r="H7" i="4"/>
  <c r="G7" i="4"/>
  <c r="F7" i="4"/>
  <c r="E7" i="4"/>
  <c r="D7" i="4"/>
  <c r="C14" i="4"/>
  <c r="C13" i="4"/>
  <c r="C6" i="4"/>
  <c r="C5" i="4"/>
  <c r="G52" i="2"/>
  <c r="O39" i="2"/>
  <c r="O52" i="2" s="1"/>
  <c r="G39" i="2"/>
  <c r="F39" i="2"/>
  <c r="F52" i="2" s="1"/>
  <c r="E39" i="2"/>
  <c r="D39" i="2"/>
  <c r="C48" i="2"/>
  <c r="C47" i="2"/>
  <c r="C46" i="2"/>
  <c r="C45" i="2"/>
  <c r="C44" i="2"/>
  <c r="C43" i="2"/>
  <c r="C42" i="2"/>
  <c r="C41" i="2"/>
  <c r="C40" i="2"/>
  <c r="C38" i="2"/>
  <c r="C37" i="2"/>
  <c r="C36" i="2"/>
  <c r="C35" i="2"/>
  <c r="C28" i="2"/>
  <c r="O9" i="2"/>
  <c r="O22" i="2" s="1"/>
  <c r="O24" i="2" s="1"/>
  <c r="O26" i="2" s="1"/>
  <c r="G9" i="2"/>
  <c r="G22" i="2" s="1"/>
  <c r="G24" i="2" s="1"/>
  <c r="G26" i="2" s="1"/>
  <c r="F9" i="2"/>
  <c r="F22" i="2" s="1"/>
  <c r="F24" i="2" s="1"/>
  <c r="F26" i="2" s="1"/>
  <c r="E9" i="2"/>
  <c r="E22" i="2" s="1"/>
  <c r="D9" i="2"/>
  <c r="C18" i="2"/>
  <c r="C17" i="2"/>
  <c r="C16" i="2"/>
  <c r="C15" i="2"/>
  <c r="C14" i="2"/>
  <c r="C13" i="2"/>
  <c r="C12" i="2"/>
  <c r="C11" i="2"/>
  <c r="C10" i="2"/>
  <c r="C8" i="2"/>
  <c r="C7" i="2"/>
  <c r="C6" i="2"/>
  <c r="C5" i="2"/>
  <c r="O47" i="3"/>
  <c r="N47" i="3"/>
  <c r="M47" i="3"/>
  <c r="L47" i="3"/>
  <c r="K47" i="3"/>
  <c r="J47" i="3"/>
  <c r="I47" i="3"/>
  <c r="H47" i="3"/>
  <c r="G47" i="3"/>
  <c r="F47" i="3"/>
  <c r="E47" i="3"/>
  <c r="D47" i="3"/>
  <c r="O36" i="3"/>
  <c r="O49" i="3" s="1"/>
  <c r="N36" i="3"/>
  <c r="N49" i="3" s="1"/>
  <c r="M36" i="3"/>
  <c r="M49" i="3" s="1"/>
  <c r="L36" i="3"/>
  <c r="L49" i="3" s="1"/>
  <c r="K36" i="3"/>
  <c r="K49" i="3" s="1"/>
  <c r="J36" i="3"/>
  <c r="J49" i="3" s="1"/>
  <c r="I36" i="3"/>
  <c r="I49" i="3" s="1"/>
  <c r="H36" i="3"/>
  <c r="H49" i="3" s="1"/>
  <c r="G36" i="3"/>
  <c r="G49" i="3" s="1"/>
  <c r="F36" i="3"/>
  <c r="F49" i="3" s="1"/>
  <c r="E36" i="3"/>
  <c r="E49" i="3" s="1"/>
  <c r="D36" i="3"/>
  <c r="D49" i="3" s="1"/>
  <c r="D50" i="3" s="1"/>
  <c r="D35" i="3"/>
  <c r="O33" i="3"/>
  <c r="N33" i="3"/>
  <c r="M33" i="3"/>
  <c r="L33" i="3"/>
  <c r="K33" i="3"/>
  <c r="J33" i="3"/>
  <c r="I33" i="3"/>
  <c r="H33" i="3"/>
  <c r="G33" i="3"/>
  <c r="F33" i="3"/>
  <c r="E33" i="3"/>
  <c r="D33" i="3"/>
  <c r="O32" i="3"/>
  <c r="N32" i="3"/>
  <c r="M32" i="3"/>
  <c r="L32" i="3"/>
  <c r="K32" i="3"/>
  <c r="J32" i="3"/>
  <c r="C32" i="3" s="1"/>
  <c r="I32" i="3"/>
  <c r="H32" i="3"/>
  <c r="G32" i="3"/>
  <c r="F32" i="3"/>
  <c r="E32" i="3"/>
  <c r="D32" i="3"/>
  <c r="O31" i="3"/>
  <c r="O34" i="3" s="1"/>
  <c r="N31" i="3"/>
  <c r="N34" i="3" s="1"/>
  <c r="M31" i="3"/>
  <c r="L31" i="3"/>
  <c r="K31" i="3"/>
  <c r="I31" i="3"/>
  <c r="H31" i="3"/>
  <c r="G31" i="3"/>
  <c r="G34" i="3" s="1"/>
  <c r="F31" i="3"/>
  <c r="E31" i="3"/>
  <c r="D31" i="3"/>
  <c r="O11" i="3"/>
  <c r="N11" i="3"/>
  <c r="M11" i="3"/>
  <c r="L11" i="3"/>
  <c r="K11" i="3"/>
  <c r="J11" i="3"/>
  <c r="I11" i="3"/>
  <c r="I12" i="3" s="1"/>
  <c r="H11" i="3"/>
  <c r="G11" i="3"/>
  <c r="F11" i="3"/>
  <c r="E11" i="3"/>
  <c r="D11" i="3"/>
  <c r="O8" i="3"/>
  <c r="N8" i="3"/>
  <c r="M8" i="3"/>
  <c r="L8" i="3"/>
  <c r="K8" i="3"/>
  <c r="J8" i="3"/>
  <c r="I8" i="3"/>
  <c r="H8" i="3"/>
  <c r="G8" i="3"/>
  <c r="F8" i="3"/>
  <c r="E8" i="3"/>
  <c r="D8" i="3"/>
  <c r="C10" i="3"/>
  <c r="C9" i="3"/>
  <c r="C7" i="3"/>
  <c r="C6" i="3"/>
  <c r="C5" i="3"/>
  <c r="C46" i="3"/>
  <c r="C45" i="3"/>
  <c r="C44" i="3"/>
  <c r="D24" i="3"/>
  <c r="O21" i="3"/>
  <c r="N21" i="3"/>
  <c r="M21" i="3"/>
  <c r="L21" i="3"/>
  <c r="K21" i="3"/>
  <c r="J21" i="3"/>
  <c r="I21" i="3"/>
  <c r="H21" i="3"/>
  <c r="G21" i="3"/>
  <c r="F21" i="3"/>
  <c r="E21" i="3"/>
  <c r="D21" i="3"/>
  <c r="C23" i="3"/>
  <c r="C20" i="3"/>
  <c r="C19" i="3"/>
  <c r="C18" i="3"/>
  <c r="J29" i="17"/>
  <c r="H29" i="17"/>
  <c r="L29" i="17"/>
  <c r="P29" i="17"/>
  <c r="K29" i="17"/>
  <c r="G4" i="4"/>
  <c r="G12" i="4" s="1"/>
  <c r="G20" i="4" s="1"/>
  <c r="H4" i="4"/>
  <c r="H12" i="4" s="1"/>
  <c r="H20" i="4" s="1"/>
  <c r="I4" i="4"/>
  <c r="I12" i="4" s="1"/>
  <c r="I20" i="4" s="1"/>
  <c r="J4" i="4"/>
  <c r="J12" i="4" s="1"/>
  <c r="J20" i="4" s="1"/>
  <c r="K4" i="4"/>
  <c r="K12" i="4" s="1"/>
  <c r="K20" i="4" s="1"/>
  <c r="L4" i="4"/>
  <c r="L12" i="4" s="1"/>
  <c r="L20" i="4" s="1"/>
  <c r="M4" i="4"/>
  <c r="M12" i="4" s="1"/>
  <c r="M20" i="4" s="1"/>
  <c r="N4" i="4"/>
  <c r="N12" i="4" s="1"/>
  <c r="N20" i="4" s="1"/>
  <c r="O4" i="4"/>
  <c r="O12" i="4" s="1"/>
  <c r="O20" i="4" s="1"/>
  <c r="H17" i="3"/>
  <c r="H30" i="3" s="1"/>
  <c r="H43" i="3" s="1"/>
  <c r="I17" i="3"/>
  <c r="I30" i="3" s="1"/>
  <c r="I43" i="3" s="1"/>
  <c r="J17" i="3"/>
  <c r="J30" i="3" s="1"/>
  <c r="J43" i="3" s="1"/>
  <c r="K17" i="3"/>
  <c r="K30" i="3" s="1"/>
  <c r="K43" i="3" s="1"/>
  <c r="L17" i="3"/>
  <c r="L30" i="3" s="1"/>
  <c r="L43" i="3" s="1"/>
  <c r="M17" i="3"/>
  <c r="M30" i="3" s="1"/>
  <c r="M43" i="3" s="1"/>
  <c r="N17" i="3"/>
  <c r="N30" i="3" s="1"/>
  <c r="N43" i="3" s="1"/>
  <c r="O17" i="3"/>
  <c r="O30" i="3"/>
  <c r="O43" i="3" s="1"/>
  <c r="H4" i="3"/>
  <c r="I4" i="3"/>
  <c r="J4" i="3"/>
  <c r="K4" i="3"/>
  <c r="L4" i="3"/>
  <c r="M4" i="3"/>
  <c r="N4" i="3"/>
  <c r="O4" i="3"/>
  <c r="D22" i="18"/>
  <c r="E13" i="18"/>
  <c r="E22" i="18"/>
  <c r="D24" i="17"/>
  <c r="E4" i="17"/>
  <c r="D20" i="16"/>
  <c r="F6" i="9"/>
  <c r="F8" i="9"/>
  <c r="G8" i="9" s="1"/>
  <c r="F9" i="9"/>
  <c r="F10" i="9"/>
  <c r="F11" i="9"/>
  <c r="G11" i="9" s="1"/>
  <c r="F12" i="9"/>
  <c r="G12" i="9" s="1"/>
  <c r="G4" i="3"/>
  <c r="D30" i="3"/>
  <c r="D43" i="3" s="1"/>
  <c r="F4" i="2"/>
  <c r="F34" i="2" s="1"/>
  <c r="G21" i="7"/>
  <c r="F4" i="4"/>
  <c r="F12" i="4" s="1"/>
  <c r="F20" i="4" s="1"/>
  <c r="F4" i="18"/>
  <c r="F13" i="18"/>
  <c r="F22" i="18" s="1"/>
  <c r="E14" i="17"/>
  <c r="E24" i="17" s="1"/>
  <c r="E4" i="18"/>
  <c r="F4" i="17"/>
  <c r="F4" i="3"/>
  <c r="F12" i="16"/>
  <c r="F20" i="16" s="1"/>
  <c r="F4" i="16"/>
  <c r="E12" i="16"/>
  <c r="E20" i="16" s="1"/>
  <c r="F14" i="17"/>
  <c r="F24" i="17" s="1"/>
  <c r="E4" i="16"/>
  <c r="E4" i="4"/>
  <c r="E12" i="4" s="1"/>
  <c r="E20" i="4" s="1"/>
  <c r="E4" i="3"/>
  <c r="E17" i="3"/>
  <c r="E30" i="3" s="1"/>
  <c r="E43" i="3" s="1"/>
  <c r="F17" i="3"/>
  <c r="F30" i="3" s="1"/>
  <c r="F43" i="3" s="1"/>
  <c r="G17" i="3"/>
  <c r="G30" i="3" s="1"/>
  <c r="G43" i="3" s="1"/>
  <c r="G4" i="2"/>
  <c r="G34" i="2" s="1"/>
  <c r="D34" i="2"/>
  <c r="E4" i="2"/>
  <c r="E34" i="2" s="1"/>
  <c r="O21" i="7"/>
  <c r="J21" i="7"/>
  <c r="N21" i="7"/>
  <c r="H21" i="7"/>
  <c r="L21" i="7"/>
  <c r="P21" i="7"/>
  <c r="K21" i="7"/>
  <c r="D17" i="6"/>
  <c r="D31" i="6" s="1"/>
  <c r="D43" i="6" s="1"/>
  <c r="F17" i="6"/>
  <c r="F31" i="6" s="1"/>
  <c r="F43" i="6" s="1"/>
  <c r="J17" i="6"/>
  <c r="J31" i="6" s="1"/>
  <c r="J43" i="6" s="1"/>
  <c r="N17" i="6"/>
  <c r="N31" i="6" s="1"/>
  <c r="N43" i="6" s="1"/>
  <c r="G17" i="6"/>
  <c r="G31" i="6" s="1"/>
  <c r="G43" i="6" s="1"/>
  <c r="K17" i="6"/>
  <c r="K31" i="6" s="1"/>
  <c r="K43" i="6" s="1"/>
  <c r="H17" i="6"/>
  <c r="H31" i="6" s="1"/>
  <c r="H43" i="6" s="1"/>
  <c r="L17" i="6"/>
  <c r="L31" i="6" s="1"/>
  <c r="L43" i="6" s="1"/>
  <c r="I17" i="6"/>
  <c r="I31" i="6" s="1"/>
  <c r="I43" i="6" s="1"/>
  <c r="M17" i="6"/>
  <c r="M31" i="6" s="1"/>
  <c r="M43" i="6" s="1"/>
  <c r="E17" i="6"/>
  <c r="E31" i="6" s="1"/>
  <c r="E43" i="6" s="1"/>
  <c r="C17" i="6"/>
  <c r="C31" i="6" s="1"/>
  <c r="M21" i="7"/>
  <c r="I21" i="7"/>
  <c r="F21" i="7"/>
  <c r="E21" i="7"/>
  <c r="F4" i="10"/>
  <c r="F21" i="10" s="1"/>
  <c r="E4" i="10"/>
  <c r="E21" i="10" s="1"/>
  <c r="D12" i="4"/>
  <c r="D20" i="4" s="1"/>
  <c r="G6" i="9"/>
  <c r="E23" i="4" l="1"/>
  <c r="J23" i="4"/>
  <c r="C49" i="3"/>
  <c r="N12" i="3"/>
  <c r="H12" i="3"/>
  <c r="E9" i="19"/>
  <c r="E14" i="19" s="1"/>
  <c r="D7" i="6"/>
  <c r="D33" i="6"/>
  <c r="D34" i="6" s="1"/>
  <c r="D21" i="6"/>
  <c r="I23" i="4"/>
  <c r="G21" i="6"/>
  <c r="G33" i="6"/>
  <c r="G34" i="6" s="1"/>
  <c r="G7" i="6"/>
  <c r="H21" i="6"/>
  <c r="H33" i="6"/>
  <c r="H34" i="6" s="1"/>
  <c r="H7" i="6"/>
  <c r="I7" i="6"/>
  <c r="I21" i="6"/>
  <c r="I33" i="6"/>
  <c r="I34" i="6" s="1"/>
  <c r="J7" i="6"/>
  <c r="J21" i="6"/>
  <c r="J33" i="6"/>
  <c r="K7" i="6"/>
  <c r="K21" i="6"/>
  <c r="K33" i="6"/>
  <c r="N21" i="6"/>
  <c r="N33" i="6"/>
  <c r="N7" i="6"/>
  <c r="L7" i="6"/>
  <c r="L33" i="6"/>
  <c r="L21" i="6"/>
  <c r="F21" i="6"/>
  <c r="F33" i="6"/>
  <c r="F34" i="6" s="1"/>
  <c r="F7" i="6"/>
  <c r="E33" i="6"/>
  <c r="E34" i="6" s="1"/>
  <c r="E7" i="6"/>
  <c r="E21" i="6"/>
  <c r="M33" i="6"/>
  <c r="M7" i="6"/>
  <c r="M21" i="6"/>
  <c r="F23" i="4"/>
  <c r="N23" i="4"/>
  <c r="O23" i="4"/>
  <c r="E26" i="2"/>
  <c r="E24" i="2"/>
  <c r="F34" i="3"/>
  <c r="H34" i="3"/>
  <c r="I34" i="3"/>
  <c r="D25" i="3"/>
  <c r="D12" i="3"/>
  <c r="K23" i="4"/>
  <c r="D23" i="4"/>
  <c r="L23" i="4"/>
  <c r="M23" i="4"/>
  <c r="C22" i="4"/>
  <c r="D51" i="3"/>
  <c r="C33" i="3"/>
  <c r="C31" i="3"/>
  <c r="G12" i="3"/>
  <c r="O12" i="3"/>
  <c r="K34" i="3"/>
  <c r="K12" i="3"/>
  <c r="D34" i="3"/>
  <c r="L34" i="3"/>
  <c r="E34" i="3"/>
  <c r="M34" i="3"/>
  <c r="E12" i="3"/>
  <c r="M12" i="3"/>
  <c r="J12" i="3"/>
  <c r="C24" i="10"/>
  <c r="C16" i="10"/>
  <c r="I23" i="16"/>
  <c r="G23" i="16"/>
  <c r="O23" i="16"/>
  <c r="C19" i="17"/>
  <c r="C25" i="17"/>
  <c r="I29" i="17"/>
  <c r="E29" i="17"/>
  <c r="C26" i="17"/>
  <c r="I26" i="18"/>
  <c r="C24" i="18"/>
  <c r="J26" i="18"/>
  <c r="C15" i="4"/>
  <c r="H23" i="4"/>
  <c r="L12" i="3"/>
  <c r="C11" i="3"/>
  <c r="C17" i="18"/>
  <c r="C7" i="4"/>
  <c r="C47" i="3"/>
  <c r="C39" i="2"/>
  <c r="E52" i="2"/>
  <c r="D37" i="3"/>
  <c r="C36" i="3"/>
  <c r="C7" i="10"/>
  <c r="C8" i="3"/>
  <c r="F12" i="3"/>
  <c r="C21" i="4"/>
  <c r="G23" i="4"/>
  <c r="C9" i="2"/>
  <c r="G10" i="9"/>
  <c r="J34" i="3"/>
  <c r="C22" i="16"/>
  <c r="C27" i="17"/>
  <c r="C23" i="18"/>
  <c r="C21" i="3"/>
  <c r="G5" i="9"/>
  <c r="E23" i="16"/>
  <c r="L23" i="16"/>
  <c r="M29" i="17"/>
  <c r="F26" i="18"/>
  <c r="G7" i="9"/>
  <c r="C15" i="16"/>
  <c r="C21" i="16"/>
  <c r="D29" i="17"/>
  <c r="C28" i="17"/>
  <c r="D26" i="18"/>
  <c r="C34" i="3" l="1"/>
  <c r="C23" i="4"/>
  <c r="C12" i="3"/>
  <c r="C23" i="16"/>
  <c r="D38" i="3"/>
  <c r="C29" i="17"/>
  <c r="C26" i="18"/>
  <c r="N14" i="19" l="1"/>
  <c r="L14" i="19"/>
  <c r="O14" i="19"/>
  <c r="M14" i="19"/>
  <c r="K14" i="19" l="1"/>
  <c r="C9" i="19"/>
  <c r="C14" i="19" s="1"/>
  <c r="D5" i="7"/>
  <c r="C5" i="7"/>
  <c r="M33" i="10"/>
  <c r="M7" i="19" s="1"/>
  <c r="N33" i="10" l="1"/>
  <c r="N7" i="19" s="1"/>
  <c r="C25" i="10"/>
  <c r="L33" i="10"/>
  <c r="L7" i="19" s="1"/>
  <c r="J34" i="6"/>
  <c r="L34" i="6"/>
  <c r="N34" i="6"/>
  <c r="K34" i="6"/>
  <c r="M34" i="6"/>
  <c r="K33" i="10" l="1"/>
  <c r="C30" i="10"/>
  <c r="C33" i="10" l="1"/>
  <c r="K7" i="19"/>
  <c r="C7" i="19"/>
  <c r="O22" i="3" l="1"/>
  <c r="O24" i="3" l="1"/>
  <c r="O25" i="3" s="1"/>
  <c r="O35" i="3"/>
  <c r="N19" i="6" l="1"/>
  <c r="N23" i="6" s="1"/>
  <c r="N6" i="6"/>
  <c r="N9" i="6" s="1"/>
  <c r="N36" i="6"/>
  <c r="N38" i="6" s="1"/>
  <c r="N39" i="6" s="1"/>
  <c r="O6" i="19"/>
  <c r="O8" i="19" s="1"/>
  <c r="O16" i="19" s="1"/>
  <c r="O48" i="3"/>
  <c r="O50" i="3" s="1"/>
  <c r="O51" i="3" s="1"/>
  <c r="O37" i="3"/>
  <c r="O38" i="3" s="1"/>
  <c r="L24" i="3" l="1"/>
  <c r="L25" i="3" s="1"/>
  <c r="L35" i="3"/>
  <c r="N35" i="3"/>
  <c r="N24" i="3"/>
  <c r="N25" i="3" s="1"/>
  <c r="K24" i="3"/>
  <c r="K25" i="3" s="1"/>
  <c r="K35" i="3"/>
  <c r="M24" i="3"/>
  <c r="M25" i="3" s="1"/>
  <c r="M35" i="3"/>
  <c r="J24" i="3"/>
  <c r="J25" i="3" s="1"/>
  <c r="J35" i="3"/>
  <c r="N6" i="19" l="1"/>
  <c r="N8" i="19" s="1"/>
  <c r="N16" i="19" s="1"/>
  <c r="M36" i="6"/>
  <c r="M38" i="6" s="1"/>
  <c r="M39" i="6" s="1"/>
  <c r="M6" i="6"/>
  <c r="M9" i="6" s="1"/>
  <c r="M19" i="6"/>
  <c r="M23" i="6" s="1"/>
  <c r="N48" i="3"/>
  <c r="N50" i="3" s="1"/>
  <c r="N51" i="3" s="1"/>
  <c r="N37" i="3"/>
  <c r="N38" i="3" s="1"/>
  <c r="K48" i="3"/>
  <c r="K50" i="3" s="1"/>
  <c r="K51" i="3" s="1"/>
  <c r="K37" i="3"/>
  <c r="K38" i="3" s="1"/>
  <c r="J48" i="3"/>
  <c r="J50" i="3" s="1"/>
  <c r="J51" i="3" s="1"/>
  <c r="J37" i="3"/>
  <c r="J38" i="3" s="1"/>
  <c r="I36" i="6"/>
  <c r="I38" i="6" s="1"/>
  <c r="I39" i="6" s="1"/>
  <c r="J6" i="19"/>
  <c r="J8" i="19" s="1"/>
  <c r="J16" i="19" s="1"/>
  <c r="I6" i="6"/>
  <c r="I9" i="6" s="1"/>
  <c r="I19" i="6"/>
  <c r="I23" i="6" s="1"/>
  <c r="L6" i="6"/>
  <c r="L9" i="6" s="1"/>
  <c r="M6" i="19"/>
  <c r="M8" i="19" s="1"/>
  <c r="M16" i="19" s="1"/>
  <c r="L19" i="6"/>
  <c r="L23" i="6" s="1"/>
  <c r="L36" i="6"/>
  <c r="L38" i="6" s="1"/>
  <c r="L39" i="6" s="1"/>
  <c r="L37" i="3"/>
  <c r="L38" i="3" s="1"/>
  <c r="L48" i="3"/>
  <c r="L50" i="3" s="1"/>
  <c r="L51" i="3" s="1"/>
  <c r="J19" i="6"/>
  <c r="J23" i="6" s="1"/>
  <c r="K6" i="19"/>
  <c r="K8" i="19" s="1"/>
  <c r="K16" i="19" s="1"/>
  <c r="J6" i="6"/>
  <c r="J9" i="6" s="1"/>
  <c r="J36" i="6"/>
  <c r="J38" i="6" s="1"/>
  <c r="J39" i="6" s="1"/>
  <c r="M48" i="3"/>
  <c r="M50" i="3" s="1"/>
  <c r="M51" i="3" s="1"/>
  <c r="M37" i="3"/>
  <c r="M38" i="3" s="1"/>
  <c r="K19" i="6"/>
  <c r="K23" i="6" s="1"/>
  <c r="L6" i="19"/>
  <c r="L8" i="19" s="1"/>
  <c r="L16" i="19" s="1"/>
  <c r="K36" i="6"/>
  <c r="K38" i="6" s="1"/>
  <c r="K39" i="6" s="1"/>
  <c r="K6" i="6"/>
  <c r="K9" i="6" s="1"/>
  <c r="D21" i="2" l="1"/>
  <c r="D51" i="2" l="1"/>
  <c r="C21" i="2"/>
  <c r="C51" i="2" l="1"/>
  <c r="D20" i="2" l="1"/>
  <c r="D50" i="2" l="1"/>
  <c r="C50" i="2" s="1"/>
  <c r="C20" i="2"/>
  <c r="D19" i="2"/>
  <c r="D49" i="2" l="1"/>
  <c r="C19" i="2"/>
  <c r="D22" i="2"/>
  <c r="C22" i="2" l="1"/>
  <c r="C49" i="2"/>
  <c r="D52" i="2"/>
  <c r="D5" i="19" l="1"/>
  <c r="C52" i="2"/>
  <c r="C5" i="19" l="1"/>
  <c r="D8" i="19"/>
  <c r="D16" i="19" s="1"/>
  <c r="H22" i="3" l="1"/>
  <c r="E22" i="3"/>
  <c r="F22" i="3"/>
  <c r="G22" i="3"/>
  <c r="I22" i="3"/>
  <c r="F35" i="3" l="1"/>
  <c r="F24" i="3"/>
  <c r="F25" i="3" s="1"/>
  <c r="I24" i="3"/>
  <c r="I25" i="3" s="1"/>
  <c r="I35" i="3"/>
  <c r="E24" i="3"/>
  <c r="E35" i="3"/>
  <c r="C22" i="3"/>
  <c r="H24" i="3"/>
  <c r="H25" i="3" s="1"/>
  <c r="H35" i="3"/>
  <c r="D23" i="2"/>
  <c r="G24" i="3"/>
  <c r="G25" i="3" s="1"/>
  <c r="G35" i="3"/>
  <c r="E25" i="3" l="1"/>
  <c r="C24" i="3"/>
  <c r="G48" i="3"/>
  <c r="G50" i="3" s="1"/>
  <c r="G51" i="3" s="1"/>
  <c r="G37" i="3"/>
  <c r="G38" i="3" s="1"/>
  <c r="I48" i="3"/>
  <c r="I50" i="3" s="1"/>
  <c r="I51" i="3" s="1"/>
  <c r="I37" i="3"/>
  <c r="I38" i="3" s="1"/>
  <c r="C23" i="2"/>
  <c r="D24" i="2"/>
  <c r="I6" i="19"/>
  <c r="I8" i="19" s="1"/>
  <c r="I16" i="19" s="1"/>
  <c r="H36" i="6"/>
  <c r="H38" i="6" s="1"/>
  <c r="H39" i="6" s="1"/>
  <c r="H19" i="6"/>
  <c r="H23" i="6" s="1"/>
  <c r="H6" i="6"/>
  <c r="H9" i="6" s="1"/>
  <c r="E6" i="6"/>
  <c r="E9" i="6" s="1"/>
  <c r="E36" i="6"/>
  <c r="E38" i="6" s="1"/>
  <c r="E39" i="6" s="1"/>
  <c r="E19" i="6"/>
  <c r="E23" i="6" s="1"/>
  <c r="F6" i="19"/>
  <c r="F8" i="19" s="1"/>
  <c r="F16" i="19" s="1"/>
  <c r="G6" i="19"/>
  <c r="G8" i="19" s="1"/>
  <c r="G16" i="19" s="1"/>
  <c r="F19" i="6"/>
  <c r="F23" i="6" s="1"/>
  <c r="F36" i="6"/>
  <c r="F38" i="6" s="1"/>
  <c r="F39" i="6" s="1"/>
  <c r="F6" i="6"/>
  <c r="F9" i="6" s="1"/>
  <c r="F48" i="3"/>
  <c r="F50" i="3" s="1"/>
  <c r="F51" i="3" s="1"/>
  <c r="F37" i="3"/>
  <c r="F38" i="3" s="1"/>
  <c r="E48" i="3"/>
  <c r="C35" i="3"/>
  <c r="E37" i="3"/>
  <c r="H37" i="3"/>
  <c r="H38" i="3" s="1"/>
  <c r="H48" i="3"/>
  <c r="H50" i="3" s="1"/>
  <c r="H51" i="3" s="1"/>
  <c r="G19" i="6"/>
  <c r="G23" i="6" s="1"/>
  <c r="G36" i="6"/>
  <c r="G38" i="6" s="1"/>
  <c r="G39" i="6" s="1"/>
  <c r="G6" i="6"/>
  <c r="G9" i="6" s="1"/>
  <c r="H6" i="19"/>
  <c r="H8" i="19" s="1"/>
  <c r="H16" i="19" s="1"/>
  <c r="C24" i="2" l="1"/>
  <c r="D25" i="2"/>
  <c r="C25" i="2" s="1"/>
  <c r="D36" i="6"/>
  <c r="D38" i="6" s="1"/>
  <c r="D39" i="6" s="1"/>
  <c r="C25" i="3"/>
  <c r="D19" i="6"/>
  <c r="D23" i="6" s="1"/>
  <c r="D6" i="6"/>
  <c r="E6" i="19"/>
  <c r="C48" i="3"/>
  <c r="E50" i="3"/>
  <c r="C37" i="3"/>
  <c r="E38" i="3"/>
  <c r="C38" i="3" s="1"/>
  <c r="D26" i="2" l="1"/>
  <c r="C26" i="2" s="1"/>
  <c r="C6" i="19"/>
  <c r="C8" i="19" s="1"/>
  <c r="E8" i="19"/>
  <c r="E16" i="19" s="1"/>
  <c r="D9" i="6"/>
  <c r="D6" i="7"/>
  <c r="D7" i="7" s="1"/>
  <c r="C6" i="7"/>
  <c r="C7" i="7" s="1"/>
  <c r="D29" i="2"/>
  <c r="C29" i="2" s="1"/>
  <c r="E51" i="3"/>
  <c r="C51" i="3" s="1"/>
  <c r="C50" i="3"/>
  <c r="C5" i="6"/>
  <c r="C35" i="6"/>
  <c r="C38" i="6" s="1"/>
  <c r="C39" i="6" s="1"/>
  <c r="C40" i="6" s="1"/>
  <c r="D40" i="6" s="1"/>
  <c r="E40" i="6" s="1"/>
  <c r="F40" i="6" s="1"/>
  <c r="G40" i="6" s="1"/>
  <c r="H40" i="6" s="1"/>
  <c r="I40" i="6" s="1"/>
  <c r="J40" i="6" s="1"/>
  <c r="K40" i="6" s="1"/>
  <c r="L40" i="6" s="1"/>
  <c r="M40" i="6" s="1"/>
  <c r="N40" i="6" s="1"/>
  <c r="C16" i="19" l="1"/>
  <c r="C20" i="19"/>
  <c r="C3" i="7"/>
  <c r="D3" i="7"/>
  <c r="D8" i="7" s="1"/>
  <c r="C9" i="6"/>
  <c r="C18" i="6"/>
  <c r="C23" i="6" s="1"/>
  <c r="C18" i="19"/>
  <c r="C19" i="19"/>
  <c r="D22" i="7" l="1"/>
  <c r="D24" i="7" s="1"/>
  <c r="C8" i="7"/>
  <c r="C26" i="6"/>
  <c r="C25" i="6"/>
  <c r="C12" i="6"/>
  <c r="C11" i="6"/>
</calcChain>
</file>

<file path=xl/sharedStrings.xml><?xml version="1.0" encoding="utf-8"?>
<sst xmlns="http://schemas.openxmlformats.org/spreadsheetml/2006/main" count="590" uniqueCount="352">
  <si>
    <t>EUR</t>
  </si>
  <si>
    <t>B/C</t>
  </si>
  <si>
    <t>Pozn.:</t>
  </si>
  <si>
    <t xml:space="preserve">Diskontná sadzba (finančná) </t>
  </si>
  <si>
    <t>Diskontná sadzba (ekonomická)</t>
  </si>
  <si>
    <t>Cenová úroveň</t>
  </si>
  <si>
    <t>Rok začiatku</t>
  </si>
  <si>
    <t>Časový horizont (referenčná doba)</t>
  </si>
  <si>
    <t>Rok ukončenia</t>
  </si>
  <si>
    <t>Mena</t>
  </si>
  <si>
    <t>Fiškálne konverzné faktory</t>
  </si>
  <si>
    <t>stále ceny</t>
  </si>
  <si>
    <t>Celkom</t>
  </si>
  <si>
    <t>Rok</t>
  </si>
  <si>
    <t>Celkové príjmy</t>
  </si>
  <si>
    <t>4.2 Príjmy S PROJEKTOM</t>
  </si>
  <si>
    <t>4.1 Príjmy BEZ PROJEKTU</t>
  </si>
  <si>
    <t>Finančná medzera</t>
  </si>
  <si>
    <t>Investičné náklady - čistý príjem</t>
  </si>
  <si>
    <t>Čistý príjem</t>
  </si>
  <si>
    <t>Prevádzkové náklady</t>
  </si>
  <si>
    <t>Príjmy</t>
  </si>
  <si>
    <t>Investičné náklady</t>
  </si>
  <si>
    <t>5.1 Výpočet finančnej medzery</t>
  </si>
  <si>
    <t>Zostatková hodnota</t>
  </si>
  <si>
    <t>Oprávnené náklady</t>
  </si>
  <si>
    <t>Pomer spolufinancovania</t>
  </si>
  <si>
    <t>Suma v rozhodnutí</t>
  </si>
  <si>
    <t>5.2 Príspevok Spoločenstva (EÚ)</t>
  </si>
  <si>
    <t>Príspevok Spoločenstva (EÚ)</t>
  </si>
  <si>
    <t>5.3 Štruktúra financovania</t>
  </si>
  <si>
    <t>Vlastný príspevok</t>
  </si>
  <si>
    <t>Úver</t>
  </si>
  <si>
    <t>Splátky úverov</t>
  </si>
  <si>
    <t>6.3 Finančná udržateľnosť</t>
  </si>
  <si>
    <t>Vlastné financovanie</t>
  </si>
  <si>
    <t>Finančná čistá súčasná hodnota investície (FRR_C)</t>
  </si>
  <si>
    <t>Finančné vnútorné výnosové percento investície  (FIRR_C)</t>
  </si>
  <si>
    <t>Finančná čistá súčasná hodnota kapitálu (FNPV_K)</t>
  </si>
  <si>
    <t>Finančné vnútorné výnosové percento kapitálu (FIRR_K)</t>
  </si>
  <si>
    <t>6.1 Finančná čistá súčasná hodnota investície  (FRR_C)</t>
  </si>
  <si>
    <t>6.2 Finančná čistá súčasná hodnota kapitálu  (FNPV_K)</t>
  </si>
  <si>
    <t>Celkové výdavky</t>
  </si>
  <si>
    <t>Kumulovaný čistý peňažný tok</t>
  </si>
  <si>
    <t>Úspora času</t>
  </si>
  <si>
    <t>Jazdný čas BEZ PROJEKTU</t>
  </si>
  <si>
    <t>7.2 Jazdný čas nákladného auta (hodiny)</t>
  </si>
  <si>
    <t>Ušetrené hodiny pri pracovnej ceste</t>
  </si>
  <si>
    <t>Hodnota úspory času pri pracovných cestách</t>
  </si>
  <si>
    <t>Ak analýza zahŕňa viac kategórií vozidiel, musia byť tieto potom pridané (pridaním tabuľky 7.3, 7.4, atď.).</t>
  </si>
  <si>
    <t>Mosty</t>
  </si>
  <si>
    <t>Tunely</t>
  </si>
  <si>
    <t>Protihlukové a bezpečnostné bariéry</t>
  </si>
  <si>
    <t>Životnosť v rokoch</t>
  </si>
  <si>
    <t>Nediskontované</t>
  </si>
  <si>
    <t>Diskontované</t>
  </si>
  <si>
    <t>Pozemky</t>
  </si>
  <si>
    <t>Životnosť (vrátane výmeny)</t>
  </si>
  <si>
    <t>Nevyhnutnosť výmeny</t>
  </si>
  <si>
    <t>nekonečná</t>
  </si>
  <si>
    <t>Zostávajúca životnosť v %*</t>
  </si>
  <si>
    <t>Budovy</t>
  </si>
  <si>
    <t>Spevnenie svahov</t>
  </si>
  <si>
    <t>Technológia a zariadenia</t>
  </si>
  <si>
    <t>Infraštrukturálny prvok</t>
  </si>
  <si>
    <t xml:space="preserve">Zostatková hodnota na základe finančných peňažných tokoch </t>
  </si>
  <si>
    <t>BEZ PROJEKTU</t>
  </si>
  <si>
    <t>Výmeny</t>
  </si>
  <si>
    <t>S PROJEKTOM</t>
  </si>
  <si>
    <t>Pohonné hmoty</t>
  </si>
  <si>
    <t xml:space="preserve">Celkom </t>
  </si>
  <si>
    <t>9.2 Náklady na nehodovosť</t>
  </si>
  <si>
    <t>9.3 Náklady na nehodovosť</t>
  </si>
  <si>
    <t>11.1 Čistá súčasná hodnota investície</t>
  </si>
  <si>
    <t>Celkom (diskontované)</t>
  </si>
  <si>
    <t>Celkové náklady</t>
  </si>
  <si>
    <t>Úspora prevádzkových nákladov vozidiel</t>
  </si>
  <si>
    <t>Úspora na nehodovosti</t>
  </si>
  <si>
    <t>Celkové prínosy</t>
  </si>
  <si>
    <t>Ostatné</t>
  </si>
  <si>
    <t>Spolu</t>
  </si>
  <si>
    <t>Nákladné vozidlá</t>
  </si>
  <si>
    <t>Rast HDP (%)</t>
  </si>
  <si>
    <t>Zemné práce</t>
  </si>
  <si>
    <t>Dozor</t>
  </si>
  <si>
    <t>Príprava staveniska</t>
  </si>
  <si>
    <t>Stavebné náklady</t>
  </si>
  <si>
    <t>Oprávnené investičné náklady</t>
  </si>
  <si>
    <t>Neoprávnené investičné náklady</t>
  </si>
  <si>
    <t>1.2 Investičné náklady (EUR) - ekonomické</t>
  </si>
  <si>
    <t>1.1 Investičné náklady (EUR) - finančné</t>
  </si>
  <si>
    <t>Peňažné toky</t>
  </si>
  <si>
    <t>Čisté peňažné toky</t>
  </si>
  <si>
    <t>Ekonomická čistá súčasná hodnota investície (ENPV)</t>
  </si>
  <si>
    <t>Ekonomická vnútorná miera návratnosti (EIRR)</t>
  </si>
  <si>
    <t>Inkrementálne (PRÍRASTKOVÉ)</t>
  </si>
  <si>
    <t>4.3 INKREMENTÁLNE príjmy</t>
  </si>
  <si>
    <t>Zostatková hodnota na základe socio-ekonomických peňažných tokoch</t>
  </si>
  <si>
    <t>Plánovacie/projektové poplatky</t>
  </si>
  <si>
    <t>Výkup pozemkov</t>
  </si>
  <si>
    <t>Celkové investičné náklady vrátane rezervy na nepredvídané výdavky</t>
  </si>
  <si>
    <t>Rezerva na nepredvídané výdavky</t>
  </si>
  <si>
    <t>Celkové investičné náklady bez rezervy na nepredvídané výdavky</t>
  </si>
  <si>
    <t>Celkové investičné náklady</t>
  </si>
  <si>
    <t>Všeobecné parametre</t>
  </si>
  <si>
    <t>Celkové peňažné toky</t>
  </si>
  <si>
    <t>Stavebné práce</t>
  </si>
  <si>
    <t>Cesty</t>
  </si>
  <si>
    <t>Podporné múry</t>
  </si>
  <si>
    <t>Vyvolané investície</t>
  </si>
  <si>
    <t>Iné služby (Technická pomoc, Publicita, Externé riadenie)</t>
  </si>
  <si>
    <t>DPH</t>
  </si>
  <si>
    <t>Celkové investičné náklady vrátane DPH</t>
  </si>
  <si>
    <t>*DPH sa neaplikuje pri niektorých položkách (pozemky)</t>
  </si>
  <si>
    <t>Bežné prevádzkové výdavky</t>
  </si>
  <si>
    <t>Pravidelné prevádzkové výdavky</t>
  </si>
  <si>
    <t>Celkové prevádzkové výdavky na údržbu cesty</t>
  </si>
  <si>
    <t>3.1 Prevádzkové výdavky</t>
  </si>
  <si>
    <t>Celkové prevádzkové výdavky</t>
  </si>
  <si>
    <t>Celkové iné špecifické prevádzkové výdavky</t>
  </si>
  <si>
    <t>Výdavky na elektronický výber mýta</t>
  </si>
  <si>
    <t>Príjmy z mýta</t>
  </si>
  <si>
    <t>Iné príjmy</t>
  </si>
  <si>
    <t>Iné špecifické výdavky</t>
  </si>
  <si>
    <t>použije sa konverzný faktor pre "projektovanie"</t>
  </si>
  <si>
    <t>použije sa konverzný faktor pre "pozemky"</t>
  </si>
  <si>
    <t>použije sa konverzný faktor pre "stavebné náklady"</t>
  </si>
  <si>
    <t>použije sa konverzný faktor pre "stavebný dozor"</t>
  </si>
  <si>
    <t>použije sa konverzný faktor pre "bežnú údržbu"</t>
  </si>
  <si>
    <t>3.2 Prevádzkové výdavky</t>
  </si>
  <si>
    <t>3.3  Prevádzkové výdavky</t>
  </si>
  <si>
    <t>3.4 Prevádzkové výdavky (ekonomické)</t>
  </si>
  <si>
    <t>použije sa konverzný faktor pre "pravidelnú údržbu"</t>
  </si>
  <si>
    <t>použije sa konverzný faktor pre "prevádzka mýta"</t>
  </si>
  <si>
    <t>použije sa konverzný faktor podľa typu iného výdavku</t>
  </si>
  <si>
    <t>Prevádzkové výdavky</t>
  </si>
  <si>
    <t>Investičné výdavky</t>
  </si>
  <si>
    <t>Finančné zdroje</t>
  </si>
  <si>
    <t>Úspora času celkom</t>
  </si>
  <si>
    <t>Ušetrené hodiny pri nepracovnej ceste (dochádzanie do práce)</t>
  </si>
  <si>
    <t>Ušetrené hodiny pri nepracovnej ceste (iné - súkromné účely)</t>
  </si>
  <si>
    <t>7.1 Jazdný čas osobného auta (hodiny)</t>
  </si>
  <si>
    <t>Úspora času osobného auta (v EUR)</t>
  </si>
  <si>
    <t>Úspora času nákladného auta (v EUR)</t>
  </si>
  <si>
    <t>Náklady na pohonné hmoty</t>
  </si>
  <si>
    <t>Ostatné náklady na prevádzku vozidiel</t>
  </si>
  <si>
    <t>Celkom prevádzkové náklady vozidiel</t>
  </si>
  <si>
    <t>8.1 Prevádzkové náklady vozidiel</t>
  </si>
  <si>
    <t xml:space="preserve">Úspora </t>
  </si>
  <si>
    <t>8.2 Prevádzkové náklady vozidiel</t>
  </si>
  <si>
    <t>8.3 Prevádzkové náklady vozidiel</t>
  </si>
  <si>
    <t>Úspora celkom</t>
  </si>
  <si>
    <t>Smrteľné zranenie</t>
  </si>
  <si>
    <t>Ťažké zranenie</t>
  </si>
  <si>
    <t>Ľahké zranenie</t>
  </si>
  <si>
    <t>Materiálna škoda</t>
  </si>
  <si>
    <t>Úspora</t>
  </si>
  <si>
    <t>Náklady na znečistenie životného prostredia</t>
  </si>
  <si>
    <t>Náklady na emisie skleníkových plynov</t>
  </si>
  <si>
    <t>9.1 Náklady na nehodovosť (v EUR)</t>
  </si>
  <si>
    <t>10.1 Náklady na externality</t>
  </si>
  <si>
    <t>Náklady hluku</t>
  </si>
  <si>
    <t>10.2 Náklady na externality</t>
  </si>
  <si>
    <t>10.3 Náklady na externality</t>
  </si>
  <si>
    <t>Úspora na externalitách</t>
  </si>
  <si>
    <t>Obdobie prevádzky v rámci referenčného obdobia</t>
  </si>
  <si>
    <t>Rok začiatku výstavby</t>
  </si>
  <si>
    <t>Rok ukončenia výstavby</t>
  </si>
  <si>
    <t>Personálne výdavky</t>
  </si>
  <si>
    <t>Materiál a ostané zdroje</t>
  </si>
  <si>
    <t>Kategória výdavku</t>
  </si>
  <si>
    <t>Personálne
výdavky</t>
  </si>
  <si>
    <t>Pohonné
hmoty</t>
  </si>
  <si>
    <t>Materiál a
ostatné
zdroje</t>
  </si>
  <si>
    <t>pozemky</t>
  </si>
  <si>
    <t>-</t>
  </si>
  <si>
    <t>stavebné náklady</t>
  </si>
  <si>
    <t>stavebný dozor</t>
  </si>
  <si>
    <t>projektovanie</t>
  </si>
  <si>
    <t>bežná údržba</t>
  </si>
  <si>
    <t>pravidelná údržba</t>
  </si>
  <si>
    <t>prevádzka mýta</t>
  </si>
  <si>
    <t>Priemerná obsadenosť vozidiel</t>
  </si>
  <si>
    <t>Auto</t>
  </si>
  <si>
    <t>Autobus regionálny</t>
  </si>
  <si>
    <t>Autobus diaľkový</t>
  </si>
  <si>
    <t>Autobus medzinárodný</t>
  </si>
  <si>
    <t>Nákladné vozidlá od 3,5 t do 12 t</t>
  </si>
  <si>
    <t>Nákladné vozidlá nad 12 t</t>
  </si>
  <si>
    <t>Rozdelenie cestovania podľa účelu cesty</t>
  </si>
  <si>
    <t>Pracovná cesta</t>
  </si>
  <si>
    <t>Dochádzanie 
do práce</t>
  </si>
  <si>
    <t>Iné (súkromné)</t>
  </si>
  <si>
    <t>Auto a motocykel</t>
  </si>
  <si>
    <t>Autobus</t>
  </si>
  <si>
    <t>Vlak</t>
  </si>
  <si>
    <t>Mestská hromadná doprava</t>
  </si>
  <si>
    <t>Inflácia</t>
  </si>
  <si>
    <t>CPI - ročná % zmena</t>
  </si>
  <si>
    <t>Index pre úpravu cenovej úrovne</t>
  </si>
  <si>
    <t>2016-2015</t>
  </si>
  <si>
    <t>2016-2014</t>
  </si>
  <si>
    <t>2016-2013</t>
  </si>
  <si>
    <t>2016-2012</t>
  </si>
  <si>
    <t>2016-2011</t>
  </si>
  <si>
    <t>2016-2010</t>
  </si>
  <si>
    <t>2016-2009</t>
  </si>
  <si>
    <t>Príručka CBA, Tabuľka 20</t>
  </si>
  <si>
    <t>Príručka CBA, Tabuľka 21</t>
  </si>
  <si>
    <t>Príručka CBA, Tabuľka 22</t>
  </si>
  <si>
    <t>Rozdelenie investičných a prevádzkových nákladov obvyklé pre cestné projekty na výrobné faktory</t>
  </si>
  <si>
    <t>Príručka CBA, Tabuľka 18</t>
  </si>
  <si>
    <t>Príručka CBA, Tabuľka 25</t>
  </si>
  <si>
    <t>Príručka CBA, Tabuľka 24</t>
  </si>
  <si>
    <t>Hodnota času cestovania</t>
  </si>
  <si>
    <t>Príručka CBA, Tabuľka 23</t>
  </si>
  <si>
    <t>rýchlosť v km/h</t>
  </si>
  <si>
    <t>Trieda vozidla a typ komunikácie</t>
  </si>
  <si>
    <t>Diaľnice a rýchlostné cesty</t>
  </si>
  <si>
    <t>Osobné vozidlá do 3,5 t</t>
  </si>
  <si>
    <t>Ľahké nákladné vozidlá do 3,5 t</t>
  </si>
  <si>
    <t>Stredne ťažké nákladné vozidlá 3,5 t – 12 t</t>
  </si>
  <si>
    <t>Ťažké nákladné vozidlá nad 12 t</t>
  </si>
  <si>
    <t>Autobusy</t>
  </si>
  <si>
    <t>Priemerná spotreba pohonných hmôt v závislosti od typu pozemnej komunikácie, triedy vozidla a rýchlosti jazdy v litroch na km</t>
  </si>
  <si>
    <t>auto, vlak - dochádzanie za prácou dlhá vzdialenosť</t>
  </si>
  <si>
    <t>autobus - dochádzanie za prácou dlhá vzdialenosť</t>
  </si>
  <si>
    <t>auto, vlak - iné súkromné účely krátka vzdialenosť</t>
  </si>
  <si>
    <t>autobus - iné súkromné účely krátka vzdialenosť</t>
  </si>
  <si>
    <t>auto, vlak - iné súkromné účely dlhá vzdialenosť</t>
  </si>
  <si>
    <t>autobus - iné súkromné účely dlhá vzdialenosť</t>
  </si>
  <si>
    <t>autobus - dochádzanie za prácou krátka vzdialenosť</t>
  </si>
  <si>
    <t>auto, vlak - dochádzanie za prácou krátka vzdialenosť</t>
  </si>
  <si>
    <t>autobus - pracovné cesty</t>
  </si>
  <si>
    <t>auto, vlak - pracovné cesty</t>
  </si>
  <si>
    <t>Príručka CBA, Tabuľka 26</t>
  </si>
  <si>
    <t>Príručka CBA, Tabuľka 27</t>
  </si>
  <si>
    <t>Korekčné faktory pre neohlásené dopravné nehody</t>
  </si>
  <si>
    <t>Smrteľná nehoda</t>
  </si>
  <si>
    <t>Nehoda s ťažkým zranením</t>
  </si>
  <si>
    <t>Nehoda s ľahkým zranením</t>
  </si>
  <si>
    <t>Nehoda bez následkov na zdraví</t>
  </si>
  <si>
    <t>Príručka CBA, Tabuľka 29</t>
  </si>
  <si>
    <t>Typ pozemnej komunikácie</t>
  </si>
  <si>
    <t>Nehoda s ľahkým zranením</t>
  </si>
  <si>
    <t>Nehoda bez následkov</t>
  </si>
  <si>
    <t>D+R 6 pruh</t>
  </si>
  <si>
    <t>D+R 4 pruh</t>
  </si>
  <si>
    <t>4 pruh v extraviláne</t>
  </si>
  <si>
    <t>Príručka CBA, Tabuľka 30</t>
  </si>
  <si>
    <t>Typ nehody</t>
  </si>
  <si>
    <t>Počet nehôd
(2012 - 2015)</t>
  </si>
  <si>
    <t>Typ zranenia</t>
  </si>
  <si>
    <t>Počet zranených v rámci dopravných nehôd 2012-2015</t>
  </si>
  <si>
    <t>Koeficient</t>
  </si>
  <si>
    <t>Dopravná nehoda s usmrtením</t>
  </si>
  <si>
    <t>Usmrtenie</t>
  </si>
  <si>
    <t>Dopravná nehoda s ťažkým zranením</t>
  </si>
  <si>
    <t>Dopravná nehoda s ľahkým zranením</t>
  </si>
  <si>
    <t>Koeficienty pre prepočet počtu dopravných nehôd na počet zranených osôb</t>
  </si>
  <si>
    <t>Príručka CBA, Tabuľka 31</t>
  </si>
  <si>
    <t>Jednotková hodnota na nehodu v EUR</t>
  </si>
  <si>
    <t>Bezpečnostné zariadenia**</t>
  </si>
  <si>
    <t>* v prípade, že niektoré infraštrukturálne prvky budú musieť byť vymenené, zostatková hodnota by mala byť vypočítaná z posledných vynaložených investičných výdavkov.</t>
  </si>
  <si>
    <t>** hodnota tohto prvku sa vyčlení z objektov ciest a mostov, prípadne tunelov (ak existuje výkaz výmer)</t>
  </si>
  <si>
    <t>2.1 Zostatková hodnota na základe životnosti infraštruktrálnych prvkov (alebo tzv. účtovné odpisy)</t>
  </si>
  <si>
    <t>finančná</t>
  </si>
  <si>
    <t>ekonomická</t>
  </si>
  <si>
    <t>2.2 Zostatková hodnota ako čistá súčasná hodnota peňažných tokov zostávajúcej životnosti po uplynutí referenčného obdobia</t>
  </si>
  <si>
    <t>pozn.: výpočet môže vyžadovať pomocný hárok resp. sa výpočet môže uviesť nižšie v tomto hárku</t>
  </si>
  <si>
    <t xml:space="preserve">D+R 6 pruh v intraviláne (maximálna povolená rýchlosť 90 km/h) </t>
  </si>
  <si>
    <t>D+R 4 pruh v intraviláne (maximálna povolená rýchlosť 90 km/h)</t>
  </si>
  <si>
    <t xml:space="preserve">4 pruh v intraviláne (smerovo rozdelená cesta) 
</t>
  </si>
  <si>
    <t xml:space="preserve">4 pruh v intraviláne (smerovo nerozdelená cesta) </t>
  </si>
  <si>
    <t xml:space="preserve">2 pruh v extraviláne – široký (kategória 9,5 – 11,5) </t>
  </si>
  <si>
    <t>2 pruh v extraviláne – úzky (kategória 7,5 – 9,5 bez krajníc)</t>
  </si>
  <si>
    <t xml:space="preserve">2 pruh v intraviláne – široký (šírka jazdného pruhu nad 3m a MK s núdzovým, alebo zastavovacím pruhom) </t>
  </si>
  <si>
    <t>2 pruh v intraviláne – úzky (šírka pruhu 3m a menej)</t>
  </si>
  <si>
    <t xml:space="preserve">3 pruh (striedanie pruhov)  
</t>
  </si>
  <si>
    <t>v EUR, 2006</t>
  </si>
  <si>
    <t>v EUR, 2016</t>
  </si>
  <si>
    <t>Príručka CBA, Tabuľka 32</t>
  </si>
  <si>
    <t>Jednotkový náklad na jednu tonu CO2e</t>
  </si>
  <si>
    <t>Príručka CBA, Tabuľka 40</t>
  </si>
  <si>
    <t>Druh vozidla</t>
  </si>
  <si>
    <t>Časť dňa</t>
  </si>
  <si>
    <t>Intenzita premávky</t>
  </si>
  <si>
    <t>Mesto</t>
  </si>
  <si>
    <t>Predmestie</t>
  </si>
  <si>
    <t>Mimo mesto</t>
  </si>
  <si>
    <t>Osobné auto</t>
  </si>
  <si>
    <t>Deň</t>
  </si>
  <si>
    <t>Vysoká</t>
  </si>
  <si>
    <t>Nízka</t>
  </si>
  <si>
    <t>Noc</t>
  </si>
  <si>
    <t>Motocykel</t>
  </si>
  <si>
    <t>Nákladne vozidlá do 3,5 tony</t>
  </si>
  <si>
    <t>Nákladné vozidlá nad 3,5 tony</t>
  </si>
  <si>
    <t>Príručka CBA, časť 5,2,1-5,2,3</t>
  </si>
  <si>
    <t>Cesty 1, triedy (cez mesto resp, obec)</t>
  </si>
  <si>
    <t>Cesty 1, triedy (mimo mesto resp, obec)</t>
  </si>
  <si>
    <t>Stredne ťažké nákladné vozidlá od 3,5 t do 12 t</t>
  </si>
  <si>
    <t>Príručka CBA, Tabuľka 44</t>
  </si>
  <si>
    <t>Jednotkové externé náklady hluku z cestnej dopravy na 1000 vozkm (v €, 2010)</t>
  </si>
  <si>
    <t>Priemerné náklady na prevádzku vozidiel na 1 km (v EUR, 2016)</t>
  </si>
  <si>
    <t xml:space="preserve"> - Základné číslovanie hárkov je potrebné dodržať, avšak pre výpočet hodnôt je možné prídávať pomocné hárky (napr. pre výpočet ocenenia času sa pridá hárok 07-A Ocenenie času a pod.)</t>
  </si>
  <si>
    <t xml:space="preserve"> - Pre účely kvantifikácie citlivosti a rizika sa pridajú ďalšie hárky s číslovaním 12, 13 atď.</t>
  </si>
  <si>
    <t xml:space="preserve"> - Bunky, do ktorých je požadované vloženie vstupných dát od užívateľa  sú zvýraznené modrou farbou </t>
  </si>
  <si>
    <t>Priemerná miera nehodovosti na 100 miliónov vozokilometrov podľa typu pozemnej komunikácie a typu nehody</t>
  </si>
  <si>
    <t>Hodnota úspory času pri nepracovných cestách (dochádzanie do práce)</t>
  </si>
  <si>
    <t>Hodnota úspory času pri nepracovných cestách (iné - súkromné účely)</t>
  </si>
  <si>
    <t>vozovky a mosty</t>
  </si>
  <si>
    <t>tunely</t>
  </si>
  <si>
    <t>Činnosť</t>
  </si>
  <si>
    <t>Periodicita v rokoch</t>
  </si>
  <si>
    <t>v EUR</t>
  </si>
  <si>
    <t>jednotka</t>
  </si>
  <si>
    <t>Vodorovné dopravné značenie</t>
  </si>
  <si>
    <t>m</t>
  </si>
  <si>
    <t>Opravy a údržba vozoviek (studená technológia)</t>
  </si>
  <si>
    <t>Opravy a údržba vozoviek (výmena ložnej a obrusnej vrstvy)</t>
  </si>
  <si>
    <t>Opravy a údržba mostov</t>
  </si>
  <si>
    <t>Opravy a servis tunelov</t>
  </si>
  <si>
    <r>
      <t>EUR / m</t>
    </r>
    <r>
      <rPr>
        <b/>
        <vertAlign val="superscript"/>
        <sz val="8"/>
        <rFont val="Arial"/>
        <family val="2"/>
        <charset val="238"/>
      </rPr>
      <t>2</t>
    </r>
  </si>
  <si>
    <r>
      <t>m</t>
    </r>
    <r>
      <rPr>
        <vertAlign val="superscript"/>
        <sz val="8"/>
        <color indexed="8"/>
        <rFont val="Arial"/>
        <family val="2"/>
        <charset val="238"/>
      </rPr>
      <t>2</t>
    </r>
  </si>
  <si>
    <t>Priemerné bežné prevádzkové výdavky na diaľnice a rýchlostné cesty (2016)</t>
  </si>
  <si>
    <t>Priemerné pravidelné prevádzkové výdavky na diaľnice a rýchlostné cesty (2016)</t>
  </si>
  <si>
    <t>Príručka CBA, Tabuľka 11</t>
  </si>
  <si>
    <t>Príručka CBA, Tabuľka 12</t>
  </si>
  <si>
    <t>Príručka CBA, Tabuľka 13</t>
  </si>
  <si>
    <t>Opravy a údržba vozoviek (výmena ložnej a obrusnej vrstvy)</t>
  </si>
  <si>
    <t>6-12*</t>
  </si>
  <si>
    <t>10-15**</t>
  </si>
  <si>
    <t>Priemerné bežné prevádzkové výdavky na cesty prvej triedy (2016)</t>
  </si>
  <si>
    <t>Príručka CBA, Tabuľka 14</t>
  </si>
  <si>
    <t>Priemerné pravidelné prevádzkové výdavky na cesty I. triedy (2016)</t>
  </si>
  <si>
    <t>Náklady časových strát při vybavovaniu záležitostí mýta a eDZ</t>
  </si>
  <si>
    <t>Príjmy z výberu mýta a eDZ</t>
  </si>
  <si>
    <t>Poznámka: Údaje nie sú pre projekt relevantné</t>
  </si>
  <si>
    <t>Jazdný čas S PROJEKTOM [hod/rok.vozidlo]</t>
  </si>
  <si>
    <t>Pomocné dáta: index pre diskontovanie</t>
  </si>
  <si>
    <t>Fiškálna korekcia</t>
  </si>
  <si>
    <t>mýto</t>
  </si>
  <si>
    <t>tech.pomoc</t>
  </si>
  <si>
    <t>Variant 1</t>
  </si>
  <si>
    <t>Technológie IKT</t>
  </si>
  <si>
    <t>Základný rozsah VÚC</t>
  </si>
  <si>
    <t>Výdavky na výber mýta + rezerva na pokrytie prevádzkových rizík</t>
  </si>
  <si>
    <t>Poznámka: Projekt generuje časové straty (-) tj. prerušenie jazdy vozidla za účelom vybavovania úhrady mýta, nakladania s OBU</t>
  </si>
  <si>
    <t>Jazdný čas S PROJEKTOM</t>
  </si>
  <si>
    <t>Predaj eDZ pre vozidlá nad 3,5 t</t>
  </si>
  <si>
    <t>Príjmy z výberu úhrady eDZ pre vozidlá nad 3,5 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</si>
</sst>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,##0_ ;[Red]\-#,##0\ "/>
    <numFmt numFmtId="165" formatCode="0.0"/>
    <numFmt numFmtId="166" formatCode="#,##0.0"/>
    <numFmt numFmtId="167" formatCode="0.0%"/>
    <numFmt numFmtId="168" formatCode="#,##0.00_ ;[Red]\-#,##0.00\ "/>
    <numFmt numFmtId="169" formatCode="\-"/>
    <numFmt numFmtId="170" formatCode="#,##0.000"/>
  </numFmts>
  <fonts count="23" x14ac:knownFonts="1">
    <font>
      <sz val="10"/>
      <name val="Arial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b/>
      <sz val="8"/>
      <name val="Arial"/>
      <family val="2"/>
    </font>
    <font>
      <i/>
      <sz val="8"/>
      <name val="Calibri"/>
      <family val="2"/>
      <charset val="238"/>
    </font>
    <font>
      <sz val="8"/>
      <name val="Calibri"/>
      <family val="2"/>
      <charset val="238"/>
    </font>
    <font>
      <sz val="8"/>
      <color indexed="8"/>
      <name val="Arial"/>
      <family val="2"/>
      <charset val="238"/>
    </font>
    <font>
      <sz val="8"/>
      <name val="Arial"/>
      <family val="2"/>
    </font>
    <font>
      <b/>
      <vertAlign val="superscript"/>
      <sz val="8"/>
      <name val="Arial"/>
      <family val="2"/>
      <charset val="238"/>
    </font>
    <font>
      <vertAlign val="superscript"/>
      <sz val="8"/>
      <color indexed="8"/>
      <name val="Arial"/>
      <family val="2"/>
      <charset val="238"/>
    </font>
    <font>
      <sz val="8"/>
      <color theme="0" tint="-0.34998626667073579"/>
      <name val="Arial"/>
      <family val="2"/>
      <charset val="238"/>
    </font>
    <font>
      <sz val="8"/>
      <color rgb="FF000000"/>
      <name val="Arial"/>
      <family val="2"/>
      <charset val="238"/>
    </font>
    <font>
      <i/>
      <sz val="8"/>
      <color rgb="FF000000"/>
      <name val="Calibri"/>
      <family val="2"/>
      <charset val="238"/>
    </font>
    <font>
      <b/>
      <sz val="8"/>
      <color rgb="FF000000"/>
      <name val="Arial"/>
      <family val="2"/>
      <charset val="238"/>
    </font>
    <font>
      <sz val="8"/>
      <color rgb="FF000000"/>
      <name val="Arial"/>
      <family val="2"/>
    </font>
    <font>
      <i/>
      <sz val="8"/>
      <color rgb="FF000000"/>
      <name val="Arial"/>
      <family val="2"/>
      <charset val="238"/>
    </font>
    <font>
      <sz val="8"/>
      <color rgb="FF0070C0"/>
      <name val="Arial"/>
      <family val="2"/>
      <charset val="238"/>
    </font>
    <font>
      <b/>
      <sz val="8"/>
      <color rgb="FFFF0000"/>
      <name val="Arial"/>
      <family val="2"/>
      <charset val="238"/>
    </font>
    <font>
      <i/>
      <sz val="8"/>
      <color theme="0" tint="-0.34998626667073579"/>
      <name val="Arial"/>
      <family val="2"/>
      <charset val="238"/>
    </font>
    <font>
      <b/>
      <sz val="15"/>
      <color theme="3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ck">
        <color theme="4"/>
      </bottom>
      <diagonal/>
    </border>
  </borders>
  <cellStyleXfs count="4">
    <xf numFmtId="0" fontId="0" fillId="0" borderId="0"/>
    <xf numFmtId="0" fontId="3" fillId="0" borderId="0"/>
    <xf numFmtId="9" fontId="1" fillId="0" borderId="0" applyFont="0" applyFill="0" applyBorder="0" applyAlignment="0" applyProtection="0"/>
    <xf numFmtId="0" fontId="22" fillId="0" borderId="23" applyNumberFormat="0" applyFill="0" applyAlignment="0" applyProtection="0"/>
  </cellStyleXfs>
  <cellXfs count="201">
    <xf numFmtId="0" fontId="0" fillId="0" borderId="0" xfId="0"/>
    <xf numFmtId="0" fontId="4" fillId="0" borderId="0" xfId="0" applyFont="1"/>
    <xf numFmtId="0" fontId="2" fillId="0" borderId="0" xfId="0" applyFont="1" applyFill="1"/>
    <xf numFmtId="0" fontId="2" fillId="0" borderId="0" xfId="0" applyFont="1"/>
    <xf numFmtId="0" fontId="2" fillId="0" borderId="1" xfId="0" applyFont="1" applyBorder="1"/>
    <xf numFmtId="0" fontId="5" fillId="0" borderId="1" xfId="0" applyFont="1" applyBorder="1"/>
    <xf numFmtId="0" fontId="4" fillId="0" borderId="1" xfId="0" applyFont="1" applyBorder="1"/>
    <xf numFmtId="0" fontId="5" fillId="4" borderId="1" xfId="0" applyFont="1" applyFill="1" applyBorder="1"/>
    <xf numFmtId="0" fontId="4" fillId="4" borderId="1" xfId="0" applyFont="1" applyFill="1" applyBorder="1"/>
    <xf numFmtId="3" fontId="2" fillId="0" borderId="1" xfId="0" applyNumberFormat="1" applyFont="1" applyBorder="1"/>
    <xf numFmtId="3" fontId="2" fillId="2" borderId="1" xfId="0" applyNumberFormat="1" applyFont="1" applyFill="1" applyBorder="1"/>
    <xf numFmtId="3" fontId="2" fillId="0" borderId="1" xfId="0" applyNumberFormat="1" applyFont="1" applyFill="1" applyBorder="1"/>
    <xf numFmtId="0" fontId="5" fillId="0" borderId="1" xfId="0" applyFont="1" applyBorder="1" applyAlignment="1">
      <alignment wrapText="1"/>
    </xf>
    <xf numFmtId="3" fontId="5" fillId="0" borderId="1" xfId="0" applyNumberFormat="1" applyFont="1" applyBorder="1" applyAlignment="1">
      <alignment wrapText="1"/>
    </xf>
    <xf numFmtId="0" fontId="2" fillId="0" borderId="0" xfId="0" applyFont="1" applyAlignment="1">
      <alignment wrapText="1"/>
    </xf>
    <xf numFmtId="3" fontId="5" fillId="0" borderId="1" xfId="0" applyNumberFormat="1" applyFont="1" applyBorder="1"/>
    <xf numFmtId="3" fontId="2" fillId="0" borderId="0" xfId="0" applyNumberFormat="1" applyFont="1"/>
    <xf numFmtId="0" fontId="2" fillId="0" borderId="1" xfId="0" applyFont="1" applyFill="1" applyBorder="1"/>
    <xf numFmtId="3" fontId="2" fillId="3" borderId="1" xfId="0" applyNumberFormat="1" applyFont="1" applyFill="1" applyBorder="1"/>
    <xf numFmtId="0" fontId="4" fillId="0" borderId="0" xfId="0" applyFont="1" applyFill="1" applyBorder="1"/>
    <xf numFmtId="0" fontId="5" fillId="0" borderId="1" xfId="0" applyFont="1" applyFill="1" applyBorder="1"/>
    <xf numFmtId="3" fontId="5" fillId="0" borderId="1" xfId="0" applyNumberFormat="1" applyFont="1" applyFill="1" applyBorder="1"/>
    <xf numFmtId="0" fontId="5" fillId="0" borderId="0" xfId="0" applyFont="1"/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4" fillId="0" borderId="0" xfId="0" applyFont="1" applyFill="1" applyBorder="1" applyAlignment="1">
      <alignment horizontal="left"/>
    </xf>
    <xf numFmtId="0" fontId="5" fillId="0" borderId="0" xfId="0" applyFont="1" applyBorder="1"/>
    <xf numFmtId="0" fontId="2" fillId="0" borderId="0" xfId="0" applyFont="1" applyBorder="1"/>
    <xf numFmtId="0" fontId="2" fillId="4" borderId="1" xfId="0" applyFont="1" applyFill="1" applyBorder="1"/>
    <xf numFmtId="0" fontId="5" fillId="0" borderId="2" xfId="0" applyFont="1" applyFill="1" applyBorder="1"/>
    <xf numFmtId="3" fontId="5" fillId="0" borderId="2" xfId="0" applyNumberFormat="1" applyFont="1" applyBorder="1"/>
    <xf numFmtId="0" fontId="5" fillId="0" borderId="3" xfId="0" applyFont="1" applyBorder="1"/>
    <xf numFmtId="3" fontId="5" fillId="0" borderId="3" xfId="0" applyNumberFormat="1" applyFont="1" applyBorder="1"/>
    <xf numFmtId="9" fontId="2" fillId="0" borderId="1" xfId="2" applyFont="1" applyFill="1" applyBorder="1"/>
    <xf numFmtId="0" fontId="5" fillId="0" borderId="0" xfId="0" applyFont="1" applyFill="1"/>
    <xf numFmtId="0" fontId="4" fillId="0" borderId="1" xfId="0" applyFont="1" applyFill="1" applyBorder="1"/>
    <xf numFmtId="3" fontId="2" fillId="0" borderId="0" xfId="0" applyNumberFormat="1" applyFont="1" applyFill="1"/>
    <xf numFmtId="164" fontId="2" fillId="0" borderId="0" xfId="0" applyNumberFormat="1" applyFont="1"/>
    <xf numFmtId="0" fontId="2" fillId="0" borderId="4" xfId="0" applyFont="1" applyBorder="1"/>
    <xf numFmtId="164" fontId="2" fillId="0" borderId="0" xfId="0" applyNumberFormat="1" applyFont="1" applyBorder="1"/>
    <xf numFmtId="0" fontId="2" fillId="0" borderId="2" xfId="0" applyFont="1" applyBorder="1"/>
    <xf numFmtId="3" fontId="2" fillId="0" borderId="2" xfId="0" applyNumberFormat="1" applyFont="1" applyFill="1" applyBorder="1"/>
    <xf numFmtId="3" fontId="2" fillId="2" borderId="2" xfId="0" applyNumberFormat="1" applyFont="1" applyFill="1" applyBorder="1"/>
    <xf numFmtId="0" fontId="5" fillId="5" borderId="1" xfId="0" applyFont="1" applyFill="1" applyBorder="1"/>
    <xf numFmtId="3" fontId="5" fillId="5" borderId="1" xfId="0" applyNumberFormat="1" applyFont="1" applyFill="1" applyBorder="1"/>
    <xf numFmtId="3" fontId="13" fillId="0" borderId="1" xfId="0" applyNumberFormat="1" applyFont="1" applyBorder="1"/>
    <xf numFmtId="3" fontId="13" fillId="2" borderId="1" xfId="0" applyNumberFormat="1" applyFont="1" applyFill="1" applyBorder="1"/>
    <xf numFmtId="0" fontId="13" fillId="0" borderId="1" xfId="0" applyFont="1" applyBorder="1" applyAlignment="1">
      <alignment horizontal="right"/>
    </xf>
    <xf numFmtId="3" fontId="13" fillId="0" borderId="1" xfId="0" applyNumberFormat="1" applyFont="1" applyFill="1" applyBorder="1"/>
    <xf numFmtId="0" fontId="13" fillId="0" borderId="1" xfId="0" applyFont="1" applyFill="1" applyBorder="1" applyAlignment="1">
      <alignment horizontal="right"/>
    </xf>
    <xf numFmtId="3" fontId="2" fillId="6" borderId="1" xfId="0" applyNumberFormat="1" applyFont="1" applyFill="1" applyBorder="1"/>
    <xf numFmtId="3" fontId="2" fillId="6" borderId="5" xfId="0" applyNumberFormat="1" applyFont="1" applyFill="1" applyBorder="1"/>
    <xf numFmtId="9" fontId="2" fillId="6" borderId="6" xfId="2" applyFont="1" applyFill="1" applyBorder="1"/>
    <xf numFmtId="164" fontId="2" fillId="6" borderId="6" xfId="0" applyNumberFormat="1" applyFont="1" applyFill="1" applyBorder="1"/>
    <xf numFmtId="9" fontId="2" fillId="6" borderId="6" xfId="0" applyNumberFormat="1" applyFont="1" applyFill="1" applyBorder="1"/>
    <xf numFmtId="0" fontId="5" fillId="6" borderId="5" xfId="0" applyFont="1" applyFill="1" applyBorder="1"/>
    <xf numFmtId="0" fontId="5" fillId="7" borderId="7" xfId="0" applyFont="1" applyFill="1" applyBorder="1"/>
    <xf numFmtId="3" fontId="2" fillId="7" borderId="8" xfId="0" applyNumberFormat="1" applyFont="1" applyFill="1" applyBorder="1"/>
    <xf numFmtId="0" fontId="2" fillId="0" borderId="3" xfId="0" applyFont="1" applyBorder="1"/>
    <xf numFmtId="3" fontId="2" fillId="0" borderId="3" xfId="0" applyNumberFormat="1" applyFont="1" applyBorder="1"/>
    <xf numFmtId="0" fontId="2" fillId="0" borderId="2" xfId="0" applyFont="1" applyFill="1" applyBorder="1"/>
    <xf numFmtId="3" fontId="2" fillId="0" borderId="5" xfId="0" applyNumberFormat="1" applyFont="1" applyBorder="1"/>
    <xf numFmtId="169" fontId="2" fillId="0" borderId="1" xfId="0" applyNumberFormat="1" applyFont="1" applyBorder="1"/>
    <xf numFmtId="169" fontId="2" fillId="0" borderId="5" xfId="0" applyNumberFormat="1" applyFont="1" applyBorder="1"/>
    <xf numFmtId="0" fontId="2" fillId="0" borderId="0" xfId="1" applyFont="1"/>
    <xf numFmtId="0" fontId="2" fillId="0" borderId="1" xfId="1" applyFont="1" applyBorder="1"/>
    <xf numFmtId="0" fontId="5" fillId="0" borderId="1" xfId="1" applyFont="1" applyBorder="1"/>
    <xf numFmtId="3" fontId="2" fillId="0" borderId="1" xfId="1" applyNumberFormat="1" applyFont="1" applyBorder="1"/>
    <xf numFmtId="3" fontId="2" fillId="2" borderId="1" xfId="1" applyNumberFormat="1" applyFont="1" applyFill="1" applyBorder="1"/>
    <xf numFmtId="3" fontId="5" fillId="0" borderId="1" xfId="1" applyNumberFormat="1" applyFont="1" applyBorder="1"/>
    <xf numFmtId="0" fontId="4" fillId="0" borderId="1" xfId="1" applyFont="1" applyBorder="1"/>
    <xf numFmtId="3" fontId="2" fillId="0" borderId="1" xfId="1" applyNumberFormat="1" applyFont="1" applyFill="1" applyBorder="1"/>
    <xf numFmtId="3" fontId="5" fillId="0" borderId="1" xfId="1" applyNumberFormat="1" applyFont="1" applyFill="1" applyBorder="1"/>
    <xf numFmtId="0" fontId="5" fillId="4" borderId="1" xfId="1" applyFont="1" applyFill="1" applyBorder="1"/>
    <xf numFmtId="0" fontId="2" fillId="4" borderId="1" xfId="1" applyFont="1" applyFill="1" applyBorder="1"/>
    <xf numFmtId="0" fontId="4" fillId="4" borderId="1" xfId="1" applyFont="1" applyFill="1" applyBorder="1"/>
    <xf numFmtId="0" fontId="5" fillId="0" borderId="4" xfId="1" applyFont="1" applyBorder="1"/>
    <xf numFmtId="3" fontId="5" fillId="0" borderId="9" xfId="1" applyNumberFormat="1" applyFont="1" applyFill="1" applyBorder="1"/>
    <xf numFmtId="3" fontId="2" fillId="0" borderId="5" xfId="1" applyNumberFormat="1" applyFont="1" applyBorder="1"/>
    <xf numFmtId="0" fontId="5" fillId="0" borderId="0" xfId="1" applyFont="1"/>
    <xf numFmtId="164" fontId="2" fillId="0" borderId="1" xfId="1" applyNumberFormat="1" applyFont="1" applyBorder="1"/>
    <xf numFmtId="2" fontId="5" fillId="4" borderId="1" xfId="1" applyNumberFormat="1" applyFont="1" applyFill="1" applyBorder="1" applyAlignment="1">
      <alignment horizontal="center" wrapText="1"/>
    </xf>
    <xf numFmtId="0" fontId="2" fillId="0" borderId="4" xfId="1" applyFont="1" applyBorder="1"/>
    <xf numFmtId="0" fontId="5" fillId="5" borderId="1" xfId="1" applyFont="1" applyFill="1" applyBorder="1"/>
    <xf numFmtId="164" fontId="5" fillId="5" borderId="1" xfId="1" applyNumberFormat="1" applyFont="1" applyFill="1" applyBorder="1"/>
    <xf numFmtId="3" fontId="5" fillId="5" borderId="1" xfId="1" applyNumberFormat="1" applyFont="1" applyFill="1" applyBorder="1"/>
    <xf numFmtId="3" fontId="5" fillId="0" borderId="0" xfId="0" applyNumberFormat="1" applyFont="1" applyBorder="1"/>
    <xf numFmtId="3" fontId="2" fillId="0" borderId="0" xfId="0" applyNumberFormat="1" applyFont="1" applyBorder="1"/>
    <xf numFmtId="0" fontId="4" fillId="0" borderId="0" xfId="0" applyFont="1" applyBorder="1" applyAlignment="1">
      <alignment vertical="center"/>
    </xf>
    <xf numFmtId="0" fontId="2" fillId="2" borderId="1" xfId="0" applyFont="1" applyFill="1" applyBorder="1"/>
    <xf numFmtId="9" fontId="2" fillId="0" borderId="3" xfId="0" applyNumberFormat="1" applyFont="1" applyBorder="1" applyAlignment="1">
      <alignment horizontal="center" vertical="center"/>
    </xf>
    <xf numFmtId="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10" fontId="14" fillId="0" borderId="1" xfId="0" applyNumberFormat="1" applyFont="1" applyBorder="1" applyAlignment="1">
      <alignment horizontal="center" vertical="center"/>
    </xf>
    <xf numFmtId="10" fontId="14" fillId="0" borderId="1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vertical="center"/>
    </xf>
    <xf numFmtId="0" fontId="8" fillId="0" borderId="0" xfId="0" applyFont="1"/>
    <xf numFmtId="0" fontId="15" fillId="0" borderId="0" xfId="0" applyFont="1" applyAlignment="1">
      <alignment vertical="center" wrapText="1"/>
    </xf>
    <xf numFmtId="0" fontId="5" fillId="4" borderId="1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167" fontId="9" fillId="0" borderId="1" xfId="2" applyNumberFormat="1" applyFont="1" applyBorder="1" applyAlignment="1">
      <alignment horizontal="right" vertical="center"/>
    </xf>
    <xf numFmtId="0" fontId="6" fillId="4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9" fontId="2" fillId="0" borderId="1" xfId="0" applyNumberFormat="1" applyFont="1" applyFill="1" applyBorder="1" applyAlignment="1">
      <alignment horizontal="center" vertical="center"/>
    </xf>
    <xf numFmtId="9" fontId="2" fillId="0" borderId="1" xfId="0" applyNumberFormat="1" applyFont="1" applyFill="1" applyBorder="1" applyAlignment="1">
      <alignment horizontal="left" vertical="center"/>
    </xf>
    <xf numFmtId="4" fontId="2" fillId="0" borderId="3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vertical="center"/>
    </xf>
    <xf numFmtId="0" fontId="2" fillId="0" borderId="1" xfId="0" applyFont="1" applyBorder="1" applyAlignment="1">
      <alignment horizontal="right" vertical="center"/>
    </xf>
    <xf numFmtId="0" fontId="14" fillId="0" borderId="1" xfId="0" applyFont="1" applyBorder="1" applyAlignment="1">
      <alignment horizontal="right" vertical="center"/>
    </xf>
    <xf numFmtId="0" fontId="16" fillId="4" borderId="1" xfId="0" applyFont="1" applyFill="1" applyBorder="1" applyAlignment="1">
      <alignment vertical="center"/>
    </xf>
    <xf numFmtId="0" fontId="10" fillId="0" borderId="1" xfId="0" applyFont="1" applyBorder="1"/>
    <xf numFmtId="0" fontId="10" fillId="0" borderId="1" xfId="0" applyFont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vertical="center"/>
    </xf>
    <xf numFmtId="0" fontId="16" fillId="0" borderId="1" xfId="0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vertical="center"/>
    </xf>
    <xf numFmtId="0" fontId="17" fillId="0" borderId="1" xfId="0" applyFont="1" applyBorder="1" applyAlignment="1">
      <alignment horizontal="left" vertical="center" wrapText="1"/>
    </xf>
    <xf numFmtId="3" fontId="17" fillId="0" borderId="1" xfId="0" applyNumberFormat="1" applyFont="1" applyBorder="1" applyAlignment="1">
      <alignment vertical="center"/>
    </xf>
    <xf numFmtId="3" fontId="10" fillId="0" borderId="1" xfId="0" applyNumberFormat="1" applyFont="1" applyBorder="1"/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/>
    </xf>
    <xf numFmtId="3" fontId="5" fillId="7" borderId="6" xfId="0" applyNumberFormat="1" applyFont="1" applyFill="1" applyBorder="1"/>
    <xf numFmtId="0" fontId="5" fillId="4" borderId="1" xfId="0" applyFont="1" applyFill="1" applyBorder="1" applyAlignment="1">
      <alignment horizontal="left"/>
    </xf>
    <xf numFmtId="0" fontId="5" fillId="4" borderId="1" xfId="0" applyFont="1" applyFill="1" applyBorder="1" applyAlignment="1">
      <alignment horizontal="center" wrapText="1"/>
    </xf>
    <xf numFmtId="0" fontId="5" fillId="4" borderId="4" xfId="0" applyFont="1" applyFill="1" applyBorder="1" applyAlignment="1">
      <alignment horizontal="center" wrapText="1"/>
    </xf>
    <xf numFmtId="0" fontId="2" fillId="0" borderId="4" xfId="0" applyFont="1" applyBorder="1" applyAlignment="1">
      <alignment horizontal="center"/>
    </xf>
    <xf numFmtId="9" fontId="2" fillId="0" borderId="4" xfId="2" applyFont="1" applyBorder="1" applyAlignment="1">
      <alignment horizontal="center"/>
    </xf>
    <xf numFmtId="0" fontId="5" fillId="4" borderId="10" xfId="0" applyFont="1" applyFill="1" applyBorder="1" applyAlignment="1">
      <alignment horizontal="center" wrapText="1"/>
    </xf>
    <xf numFmtId="0" fontId="5" fillId="4" borderId="11" xfId="0" applyFont="1" applyFill="1" applyBorder="1" applyAlignment="1">
      <alignment horizontal="center" wrapText="1"/>
    </xf>
    <xf numFmtId="3" fontId="2" fillId="7" borderId="10" xfId="0" applyNumberFormat="1" applyFont="1" applyFill="1" applyBorder="1"/>
    <xf numFmtId="3" fontId="2" fillId="8" borderId="12" xfId="0" applyNumberFormat="1" applyFont="1" applyFill="1" applyBorder="1"/>
    <xf numFmtId="3" fontId="2" fillId="8" borderId="11" xfId="0" applyNumberFormat="1" applyFont="1" applyFill="1" applyBorder="1"/>
    <xf numFmtId="3" fontId="5" fillId="8" borderId="6" xfId="0" applyNumberFormat="1" applyFont="1" applyFill="1" applyBorder="1"/>
    <xf numFmtId="0" fontId="5" fillId="0" borderId="13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8" borderId="1" xfId="1" applyFont="1" applyFill="1" applyBorder="1"/>
    <xf numFmtId="164" fontId="5" fillId="8" borderId="1" xfId="1" applyNumberFormat="1" applyFont="1" applyFill="1" applyBorder="1"/>
    <xf numFmtId="3" fontId="5" fillId="8" borderId="1" xfId="1" applyNumberFormat="1" applyFont="1" applyFill="1" applyBorder="1"/>
    <xf numFmtId="164" fontId="2" fillId="8" borderId="15" xfId="1" applyNumberFormat="1" applyFont="1" applyFill="1" applyBorder="1"/>
    <xf numFmtId="10" fontId="2" fillId="8" borderId="6" xfId="1" applyNumberFormat="1" applyFont="1" applyFill="1" applyBorder="1"/>
    <xf numFmtId="168" fontId="2" fillId="8" borderId="12" xfId="1" applyNumberFormat="1" applyFont="1" applyFill="1" applyBorder="1"/>
    <xf numFmtId="0" fontId="10" fillId="0" borderId="1" xfId="0" applyFont="1" applyBorder="1" applyAlignment="1">
      <alignment vertical="center"/>
    </xf>
    <xf numFmtId="0" fontId="10" fillId="9" borderId="1" xfId="0" applyFont="1" applyFill="1" applyBorder="1"/>
    <xf numFmtId="4" fontId="10" fillId="0" borderId="1" xfId="0" applyNumberFormat="1" applyFont="1" applyBorder="1"/>
    <xf numFmtId="166" fontId="14" fillId="0" borderId="1" xfId="0" applyNumberFormat="1" applyFont="1" applyBorder="1" applyAlignment="1">
      <alignment horizontal="center" vertical="center"/>
    </xf>
    <xf numFmtId="0" fontId="2" fillId="9" borderId="13" xfId="0" applyFont="1" applyFill="1" applyBorder="1"/>
    <xf numFmtId="0" fontId="2" fillId="9" borderId="16" xfId="0" applyFont="1" applyFill="1" applyBorder="1"/>
    <xf numFmtId="0" fontId="2" fillId="9" borderId="14" xfId="0" applyFont="1" applyFill="1" applyBorder="1"/>
    <xf numFmtId="0" fontId="2" fillId="9" borderId="17" xfId="0" applyFont="1" applyFill="1" applyBorder="1"/>
    <xf numFmtId="0" fontId="2" fillId="9" borderId="0" xfId="0" applyFont="1" applyFill="1" applyBorder="1"/>
    <xf numFmtId="0" fontId="2" fillId="9" borderId="18" xfId="0" applyFont="1" applyFill="1" applyBorder="1"/>
    <xf numFmtId="0" fontId="2" fillId="9" borderId="19" xfId="0" applyFont="1" applyFill="1" applyBorder="1"/>
    <xf numFmtId="0" fontId="2" fillId="9" borderId="20" xfId="0" applyFont="1" applyFill="1" applyBorder="1"/>
    <xf numFmtId="0" fontId="2" fillId="9" borderId="21" xfId="0" applyFont="1" applyFill="1" applyBorder="1"/>
    <xf numFmtId="165" fontId="2" fillId="0" borderId="3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/>
    </xf>
    <xf numFmtId="4" fontId="2" fillId="0" borderId="3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/>
    <xf numFmtId="0" fontId="5" fillId="4" borderId="1" xfId="0" applyFont="1" applyFill="1" applyBorder="1" applyAlignment="1">
      <alignment horizontal="center" vertical="center"/>
    </xf>
    <xf numFmtId="0" fontId="14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14" fillId="0" borderId="1" xfId="0" applyFont="1" applyBorder="1" applyAlignment="1">
      <alignment horizontal="center" vertical="center" wrapText="1"/>
    </xf>
    <xf numFmtId="3" fontId="5" fillId="8" borderId="6" xfId="1" applyNumberFormat="1" applyFont="1" applyFill="1" applyBorder="1"/>
    <xf numFmtId="3" fontId="5" fillId="0" borderId="4" xfId="0" applyNumberFormat="1" applyFont="1" applyFill="1" applyBorder="1"/>
    <xf numFmtId="3" fontId="5" fillId="0" borderId="9" xfId="0" applyNumberFormat="1" applyFont="1" applyBorder="1"/>
    <xf numFmtId="0" fontId="5" fillId="0" borderId="4" xfId="0" applyFont="1" applyFill="1" applyBorder="1"/>
    <xf numFmtId="0" fontId="19" fillId="0" borderId="1" xfId="1" applyFont="1" applyBorder="1"/>
    <xf numFmtId="3" fontId="19" fillId="0" borderId="1" xfId="1" applyNumberFormat="1" applyFont="1" applyFill="1" applyBorder="1"/>
    <xf numFmtId="0" fontId="19" fillId="0" borderId="0" xfId="1" applyFont="1"/>
    <xf numFmtId="0" fontId="20" fillId="0" borderId="0" xfId="1" applyFont="1"/>
    <xf numFmtId="4" fontId="2" fillId="2" borderId="1" xfId="0" applyNumberFormat="1" applyFont="1" applyFill="1" applyBorder="1"/>
    <xf numFmtId="4" fontId="2" fillId="0" borderId="2" xfId="0" applyNumberFormat="1" applyFont="1" applyBorder="1"/>
    <xf numFmtId="4" fontId="2" fillId="0" borderId="1" xfId="0" applyNumberFormat="1" applyFont="1" applyBorder="1"/>
    <xf numFmtId="0" fontId="21" fillId="0" borderId="0" xfId="0" applyFont="1"/>
    <xf numFmtId="2" fontId="21" fillId="0" borderId="0" xfId="0" applyNumberFormat="1" applyFont="1"/>
    <xf numFmtId="9" fontId="2" fillId="0" borderId="4" xfId="2" applyFont="1" applyFill="1" applyBorder="1"/>
    <xf numFmtId="9" fontId="21" fillId="0" borderId="0" xfId="0" applyNumberFormat="1" applyFont="1"/>
    <xf numFmtId="170" fontId="13" fillId="2" borderId="1" xfId="0" applyNumberFormat="1" applyFont="1" applyFill="1" applyBorder="1"/>
    <xf numFmtId="3" fontId="2" fillId="7" borderId="17" xfId="0" applyNumberFormat="1" applyFont="1" applyFill="1" applyBorder="1"/>
    <xf numFmtId="0" fontId="22" fillId="0" borderId="23" xfId="3"/>
    <xf numFmtId="0" fontId="14" fillId="0" borderId="1" xfId="0" applyFont="1" applyBorder="1" applyAlignment="1">
      <alignment vertical="center"/>
    </xf>
    <xf numFmtId="0" fontId="6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18" fillId="10" borderId="1" xfId="0" applyFont="1" applyFill="1" applyBorder="1" applyAlignment="1">
      <alignment vertical="center"/>
    </xf>
    <xf numFmtId="0" fontId="2" fillId="0" borderId="22" xfId="0" applyFont="1" applyFill="1" applyBorder="1" applyAlignment="1">
      <alignment vertical="center"/>
    </xf>
    <xf numFmtId="0" fontId="2" fillId="0" borderId="22" xfId="0" applyFont="1" applyBorder="1" applyAlignment="1">
      <alignment vertical="center"/>
    </xf>
    <xf numFmtId="0" fontId="2" fillId="0" borderId="22" xfId="0" applyFont="1" applyBorder="1" applyAlignment="1"/>
  </cellXfs>
  <cellStyles count="4">
    <cellStyle name="Heading 1" xfId="3" builtinId="16"/>
    <cellStyle name="Normal" xfId="0" builtinId="0"/>
    <cellStyle name="normálne 2" xfId="1"/>
    <cellStyle name="Percent" xfId="2" builtinId="5"/>
  </cellStyles>
  <dxfs count="1">
    <dxf>
      <font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4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3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r&#237;loha_16_Model_v&#253;davkov_roz&#353;&#237;ren&#253;%20rozsah%20V&#218;C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Pr&#237;loha_17_Variant_0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Pr&#237;loha_10_Model_pr&#237;jmov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Pr&#237;loha_18_Stratov&#233;_&#269;as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ákaznícke služby"/>
      <sheetName val="Palubné jednotky"/>
      <sheetName val="Agenda SVM"/>
      <sheetName val="Vyhodnotenie"/>
      <sheetName val="Vstupy_CBA"/>
    </sheetNames>
    <sheetDataSet>
      <sheetData sheetId="0"/>
      <sheetData sheetId="1"/>
      <sheetData sheetId="2"/>
      <sheetData sheetId="3"/>
      <sheetData sheetId="4">
        <row r="6">
          <cell r="B6">
            <v>14471165.075184001</v>
          </cell>
        </row>
        <row r="7">
          <cell r="B7">
            <v>848438.42026600009</v>
          </cell>
        </row>
        <row r="8">
          <cell r="B8">
            <v>4695997.545888938</v>
          </cell>
        </row>
        <row r="10">
          <cell r="B10">
            <v>9125084.513978634</v>
          </cell>
        </row>
        <row r="24">
          <cell r="M24"/>
        </row>
        <row r="25">
          <cell r="C25">
            <v>31654039.220620431</v>
          </cell>
          <cell r="D25">
            <v>31522246.289287228</v>
          </cell>
          <cell r="E25">
            <v>31036105.783990908</v>
          </cell>
          <cell r="F25">
            <v>30683564.337922428</v>
          </cell>
          <cell r="G25">
            <v>30100404.35818845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2">
          <cell r="D12">
            <v>91840</v>
          </cell>
          <cell r="E12">
            <v>95050</v>
          </cell>
          <cell r="F12">
            <v>98390</v>
          </cell>
          <cell r="G12">
            <v>101830</v>
          </cell>
          <cell r="H12">
            <v>105390</v>
          </cell>
        </row>
        <row r="19">
          <cell r="D19">
            <v>2599072</v>
          </cell>
          <cell r="E19">
            <v>2689915</v>
          </cell>
          <cell r="F19">
            <v>2784437</v>
          </cell>
          <cell r="G19">
            <v>2881789</v>
          </cell>
          <cell r="H19">
            <v>2982537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bsah"/>
      <sheetName val="Vyhodnotenie_DV"/>
      <sheetName val="Vyhodnotenie_VPSM"/>
      <sheetName val="Vyhodnotenie_E"/>
      <sheetName val="Vyhodnotenie_TRX"/>
      <sheetName val="Prognóza_1"/>
      <sheetName val="Prognóza_2"/>
      <sheetName val="Prognóza_3"/>
      <sheetName val="Prognóza_4"/>
      <sheetName val="Prognóza_4Ba"/>
      <sheetName val="Výber_mýta_P4"/>
      <sheetName val="Výber_mýta_P4R1i"/>
      <sheetName val="Výber_mýta_P4R1i23"/>
      <sheetName val="Výber_mýta_P4Ba"/>
      <sheetName val="Výber_mýta_P4Ba1O"/>
      <sheetName val="Výber_mýta_P4Ba1Oi"/>
      <sheetName val="Zľavy"/>
      <sheetName val="Dĺžky VÚC"/>
      <sheetName val="Dáta_ETC"/>
      <sheetName val="Sheet4"/>
      <sheetName val="Dáta_CSD2015_C2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8">
          <cell r="I8">
            <v>459147.75162602362</v>
          </cell>
        </row>
      </sheetData>
      <sheetData sheetId="10"/>
      <sheetData sheetId="11"/>
      <sheetData sheetId="12"/>
      <sheetData sheetId="13">
        <row r="15">
          <cell r="I15">
            <v>234708.86200920981</v>
          </cell>
        </row>
      </sheetData>
      <sheetData sheetId="14">
        <row r="15">
          <cell r="I15">
            <v>241807.58502806834</v>
          </cell>
        </row>
        <row r="16">
          <cell r="I16">
            <v>241807585.02806833</v>
          </cell>
          <cell r="J16">
            <v>246101013.80952594</v>
          </cell>
          <cell r="K16">
            <v>250555212.41166478</v>
          </cell>
          <cell r="L16">
            <v>256072390.1231077</v>
          </cell>
          <cell r="M16">
            <v>260023803.96607187</v>
          </cell>
        </row>
      </sheetData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4">
          <cell r="G14">
            <v>84000</v>
          </cell>
          <cell r="H14">
            <v>248220</v>
          </cell>
          <cell r="I14">
            <v>248220</v>
          </cell>
          <cell r="J14">
            <v>248220</v>
          </cell>
          <cell r="K14">
            <v>248220</v>
          </cell>
          <cell r="L14">
            <v>248220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</row>
        <row r="37">
          <cell r="G37">
            <v>1767024</v>
          </cell>
          <cell r="H37">
            <v>5221555.92</v>
          </cell>
          <cell r="I37">
            <v>5221555.92</v>
          </cell>
          <cell r="J37">
            <v>5221555.92</v>
          </cell>
          <cell r="K37">
            <v>5221555.92</v>
          </cell>
          <cell r="L37">
            <v>5221555.92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5050"/>
  </sheetPr>
  <dimension ref="B1:AK203"/>
  <sheetViews>
    <sheetView zoomScaleNormal="100" workbookViewId="0">
      <selection activeCell="C14" sqref="C14"/>
    </sheetView>
  </sheetViews>
  <sheetFormatPr defaultColWidth="6.85546875" defaultRowHeight="11.25" x14ac:dyDescent="0.2"/>
  <cols>
    <col min="1" max="1" width="2.7109375" style="3" customWidth="1"/>
    <col min="2" max="2" width="40" style="3" customWidth="1"/>
    <col min="3" max="3" width="15.7109375" style="3" customWidth="1"/>
    <col min="4" max="14" width="14.7109375" style="3" customWidth="1"/>
    <col min="15" max="37" width="7.85546875" style="3" bestFit="1" customWidth="1"/>
    <col min="38" max="16384" width="6.85546875" style="3"/>
  </cols>
  <sheetData>
    <row r="1" spans="2:14" ht="12" thickBot="1" x14ac:dyDescent="0.25"/>
    <row r="2" spans="2:14" ht="20.25" thickBot="1" x14ac:dyDescent="0.35">
      <c r="B2" s="153" t="s">
        <v>2</v>
      </c>
      <c r="C2" s="154"/>
      <c r="D2" s="154"/>
      <c r="E2" s="154"/>
      <c r="F2" s="154"/>
      <c r="G2" s="154"/>
      <c r="H2" s="154"/>
      <c r="I2" s="155"/>
      <c r="K2" s="190" t="s">
        <v>344</v>
      </c>
      <c r="L2" s="190" t="s">
        <v>346</v>
      </c>
      <c r="M2" s="190"/>
      <c r="N2" s="190"/>
    </row>
    <row r="3" spans="2:14" ht="12" thickTop="1" x14ac:dyDescent="0.2">
      <c r="B3" s="156" t="s">
        <v>307</v>
      </c>
      <c r="C3" s="157"/>
      <c r="D3" s="157"/>
      <c r="F3" s="90"/>
      <c r="G3" s="28"/>
      <c r="H3" s="157"/>
      <c r="I3" s="158"/>
    </row>
    <row r="4" spans="2:14" x14ac:dyDescent="0.2">
      <c r="B4" s="156" t="s">
        <v>305</v>
      </c>
      <c r="C4" s="157"/>
      <c r="D4" s="157"/>
      <c r="E4" s="157"/>
      <c r="F4" s="157"/>
      <c r="G4" s="157"/>
      <c r="H4" s="157"/>
      <c r="I4" s="158"/>
    </row>
    <row r="5" spans="2:14" ht="12" thickBot="1" x14ac:dyDescent="0.25">
      <c r="B5" s="159" t="s">
        <v>306</v>
      </c>
      <c r="C5" s="160"/>
      <c r="D5" s="160"/>
      <c r="E5" s="160"/>
      <c r="F5" s="160"/>
      <c r="G5" s="160"/>
      <c r="H5" s="160"/>
      <c r="I5" s="161"/>
    </row>
    <row r="7" spans="2:14" x14ac:dyDescent="0.2">
      <c r="B7" s="193" t="s">
        <v>104</v>
      </c>
      <c r="C7" s="193"/>
    </row>
    <row r="8" spans="2:14" x14ac:dyDescent="0.2">
      <c r="B8" s="59" t="s">
        <v>3</v>
      </c>
      <c r="C8" s="91">
        <v>0.04</v>
      </c>
    </row>
    <row r="9" spans="2:14" x14ac:dyDescent="0.2">
      <c r="B9" s="4" t="s">
        <v>4</v>
      </c>
      <c r="C9" s="92">
        <v>0.05</v>
      </c>
    </row>
    <row r="10" spans="2:14" x14ac:dyDescent="0.2">
      <c r="B10" s="4" t="s">
        <v>5</v>
      </c>
      <c r="C10" s="90">
        <v>2023</v>
      </c>
      <c r="D10" s="3" t="s">
        <v>11</v>
      </c>
    </row>
    <row r="11" spans="2:14" x14ac:dyDescent="0.2">
      <c r="B11" s="4" t="s">
        <v>6</v>
      </c>
      <c r="C11" s="90">
        <v>2023</v>
      </c>
    </row>
    <row r="12" spans="2:14" x14ac:dyDescent="0.2">
      <c r="B12" s="4" t="s">
        <v>7</v>
      </c>
      <c r="C12" s="93">
        <v>30</v>
      </c>
    </row>
    <row r="13" spans="2:14" x14ac:dyDescent="0.2">
      <c r="B13" s="4" t="s">
        <v>8</v>
      </c>
      <c r="C13" s="90">
        <v>2027</v>
      </c>
    </row>
    <row r="14" spans="2:14" x14ac:dyDescent="0.2">
      <c r="B14" s="4" t="s">
        <v>166</v>
      </c>
      <c r="C14" s="90">
        <v>2022</v>
      </c>
    </row>
    <row r="15" spans="2:14" x14ac:dyDescent="0.2">
      <c r="B15" s="4" t="s">
        <v>167</v>
      </c>
      <c r="C15" s="90">
        <v>2022</v>
      </c>
    </row>
    <row r="16" spans="2:14" x14ac:dyDescent="0.2">
      <c r="B16" s="4" t="s">
        <v>9</v>
      </c>
      <c r="C16" s="93" t="s">
        <v>0</v>
      </c>
    </row>
    <row r="19" spans="2:9" x14ac:dyDescent="0.2">
      <c r="B19" s="94" t="s">
        <v>197</v>
      </c>
      <c r="C19" s="94">
        <v>2010</v>
      </c>
      <c r="D19" s="94">
        <v>2011</v>
      </c>
      <c r="E19" s="94">
        <v>2012</v>
      </c>
      <c r="F19" s="94">
        <v>2013</v>
      </c>
      <c r="G19" s="94">
        <v>2014</v>
      </c>
      <c r="H19" s="95">
        <v>2015</v>
      </c>
      <c r="I19" s="95">
        <v>2016</v>
      </c>
    </row>
    <row r="20" spans="2:9" x14ac:dyDescent="0.2">
      <c r="B20" s="93" t="s">
        <v>198</v>
      </c>
      <c r="C20" s="96">
        <v>0.01</v>
      </c>
      <c r="D20" s="96">
        <v>3.9E-2</v>
      </c>
      <c r="E20" s="96">
        <v>3.5999999999999997E-2</v>
      </c>
      <c r="F20" s="96">
        <v>1.4E-2</v>
      </c>
      <c r="G20" s="96">
        <v>-1E-3</v>
      </c>
      <c r="H20" s="97">
        <v>-3.0000000000000001E-3</v>
      </c>
      <c r="I20" s="97">
        <v>-5.0000000000000001E-3</v>
      </c>
    </row>
    <row r="21" spans="2:9" x14ac:dyDescent="0.2">
      <c r="B21" s="89" t="s">
        <v>207</v>
      </c>
      <c r="C21" s="98"/>
      <c r="D21" s="98"/>
      <c r="E21" s="99"/>
      <c r="F21" s="99"/>
      <c r="G21" s="99"/>
      <c r="H21" s="100"/>
      <c r="I21" s="100"/>
    </row>
    <row r="22" spans="2:9" x14ac:dyDescent="0.2">
      <c r="B22" s="98"/>
      <c r="C22" s="98"/>
      <c r="D22" s="98"/>
      <c r="E22" s="99"/>
      <c r="F22" s="99"/>
      <c r="G22" s="99"/>
      <c r="H22" s="100"/>
      <c r="I22" s="100"/>
    </row>
    <row r="23" spans="2:9" x14ac:dyDescent="0.2">
      <c r="B23" s="195" t="s">
        <v>199</v>
      </c>
      <c r="C23" s="195"/>
      <c r="D23" s="98"/>
      <c r="E23" s="99"/>
      <c r="F23" s="99"/>
      <c r="G23" s="99"/>
      <c r="H23" s="100"/>
      <c r="I23" s="100"/>
    </row>
    <row r="24" spans="2:9" x14ac:dyDescent="0.2">
      <c r="B24" s="93" t="s">
        <v>200</v>
      </c>
      <c r="C24" s="102">
        <v>0.995</v>
      </c>
      <c r="D24" s="98"/>
      <c r="E24" s="99"/>
      <c r="F24" s="99"/>
      <c r="G24" s="99"/>
      <c r="H24" s="100"/>
      <c r="I24" s="100"/>
    </row>
    <row r="25" spans="2:9" x14ac:dyDescent="0.2">
      <c r="B25" s="93" t="s">
        <v>201</v>
      </c>
      <c r="C25" s="102">
        <v>0.99199999999999999</v>
      </c>
      <c r="D25" s="98"/>
      <c r="E25" s="99"/>
      <c r="F25" s="99"/>
      <c r="G25" s="99"/>
      <c r="H25" s="100"/>
      <c r="I25" s="100"/>
    </row>
    <row r="26" spans="2:9" x14ac:dyDescent="0.2">
      <c r="B26" s="93" t="s">
        <v>202</v>
      </c>
      <c r="C26" s="102">
        <v>0.99099999999999999</v>
      </c>
      <c r="D26" s="98"/>
      <c r="E26" s="99"/>
      <c r="F26" s="99"/>
      <c r="G26" s="99"/>
      <c r="H26" s="100"/>
      <c r="I26" s="100"/>
    </row>
    <row r="27" spans="2:9" x14ac:dyDescent="0.2">
      <c r="B27" s="93" t="s">
        <v>203</v>
      </c>
      <c r="C27" s="102">
        <v>1.0049999999999999</v>
      </c>
      <c r="D27" s="98"/>
      <c r="E27" s="99"/>
      <c r="F27" s="99"/>
      <c r="G27" s="99"/>
      <c r="H27" s="100"/>
      <c r="I27" s="100"/>
    </row>
    <row r="28" spans="2:9" x14ac:dyDescent="0.2">
      <c r="B28" s="93" t="s">
        <v>204</v>
      </c>
      <c r="C28" s="102">
        <v>1.0409999999999999</v>
      </c>
      <c r="D28" s="98"/>
      <c r="E28" s="99"/>
      <c r="F28" s="99"/>
      <c r="G28" s="99"/>
      <c r="H28" s="100"/>
      <c r="I28" s="100"/>
    </row>
    <row r="29" spans="2:9" x14ac:dyDescent="0.2">
      <c r="B29" s="93" t="s">
        <v>205</v>
      </c>
      <c r="C29" s="102">
        <v>1.0820000000000001</v>
      </c>
      <c r="D29" s="98"/>
      <c r="E29" s="99"/>
      <c r="F29" s="99"/>
      <c r="G29" s="99"/>
      <c r="H29" s="100"/>
      <c r="I29" s="100"/>
    </row>
    <row r="30" spans="2:9" x14ac:dyDescent="0.2">
      <c r="B30" s="93" t="s">
        <v>206</v>
      </c>
      <c r="C30" s="102">
        <v>1.0920000000000001</v>
      </c>
      <c r="D30" s="98"/>
      <c r="E30" s="99"/>
      <c r="F30" s="99"/>
      <c r="G30" s="99"/>
      <c r="H30" s="100"/>
      <c r="I30" s="100"/>
    </row>
    <row r="31" spans="2:9" x14ac:dyDescent="0.2">
      <c r="B31" s="89" t="s">
        <v>208</v>
      </c>
      <c r="C31" s="98"/>
      <c r="D31" s="98"/>
      <c r="E31" s="99"/>
      <c r="F31" s="99"/>
      <c r="G31" s="99"/>
      <c r="H31" s="100"/>
      <c r="I31" s="100"/>
    </row>
    <row r="33" spans="2:36" x14ac:dyDescent="0.2">
      <c r="B33" s="193" t="s">
        <v>82</v>
      </c>
      <c r="C33" s="103">
        <v>2017</v>
      </c>
      <c r="D33" s="103">
        <v>2018</v>
      </c>
      <c r="E33" s="103">
        <v>2019</v>
      </c>
      <c r="F33" s="103">
        <v>2020</v>
      </c>
      <c r="G33" s="103">
        <v>2021</v>
      </c>
      <c r="H33" s="103">
        <v>2022</v>
      </c>
      <c r="I33" s="103">
        <v>2023</v>
      </c>
      <c r="J33" s="103">
        <v>2024</v>
      </c>
      <c r="K33" s="103">
        <v>2025</v>
      </c>
      <c r="L33" s="103">
        <v>2026</v>
      </c>
      <c r="M33" s="103">
        <v>2027</v>
      </c>
      <c r="N33" s="103">
        <v>2028</v>
      </c>
      <c r="O33" s="103">
        <v>2029</v>
      </c>
      <c r="P33" s="103">
        <v>2030</v>
      </c>
      <c r="Q33" s="103">
        <v>2031</v>
      </c>
      <c r="R33" s="103">
        <v>2032</v>
      </c>
      <c r="S33" s="103">
        <v>2033</v>
      </c>
      <c r="T33" s="103">
        <v>2034</v>
      </c>
      <c r="U33" s="103">
        <v>2035</v>
      </c>
      <c r="V33" s="103">
        <v>2036</v>
      </c>
      <c r="W33" s="103">
        <v>2037</v>
      </c>
      <c r="X33" s="103">
        <v>2038</v>
      </c>
      <c r="Y33" s="103">
        <v>2039</v>
      </c>
      <c r="Z33" s="103">
        <v>2040</v>
      </c>
      <c r="AA33" s="103">
        <v>2041</v>
      </c>
      <c r="AB33" s="103">
        <v>2042</v>
      </c>
      <c r="AC33" s="103">
        <v>2043</v>
      </c>
      <c r="AD33" s="103">
        <v>2044</v>
      </c>
      <c r="AE33" s="103">
        <v>2045</v>
      </c>
      <c r="AF33" s="103">
        <v>2046</v>
      </c>
      <c r="AG33" s="103">
        <v>2047</v>
      </c>
      <c r="AH33" s="103">
        <v>2048</v>
      </c>
      <c r="AI33" s="103">
        <v>2049</v>
      </c>
      <c r="AJ33" s="103">
        <v>2050</v>
      </c>
    </row>
    <row r="34" spans="2:36" x14ac:dyDescent="0.2">
      <c r="B34" s="193" t="s">
        <v>82</v>
      </c>
      <c r="C34" s="104">
        <v>3.3000000000000002E-2</v>
      </c>
      <c r="D34" s="104">
        <v>0.04</v>
      </c>
      <c r="E34" s="104">
        <v>4.3999999999999997E-2</v>
      </c>
      <c r="F34" s="104">
        <v>3.7999999999999999E-2</v>
      </c>
      <c r="G34" s="104">
        <v>3.5999999999999997E-2</v>
      </c>
      <c r="H34" s="104">
        <v>3.5000000000000003E-2</v>
      </c>
      <c r="I34" s="104">
        <v>3.3000000000000002E-2</v>
      </c>
      <c r="J34" s="104">
        <v>3.2000000000000001E-2</v>
      </c>
      <c r="K34" s="104">
        <v>0.03</v>
      </c>
      <c r="L34" s="104">
        <v>2.9000000000000001E-2</v>
      </c>
      <c r="M34" s="104">
        <v>2.8000000000000001E-2</v>
      </c>
      <c r="N34" s="104">
        <v>2.7E-2</v>
      </c>
      <c r="O34" s="104">
        <v>2.5999999999999999E-2</v>
      </c>
      <c r="P34" s="104">
        <v>2.5000000000000001E-2</v>
      </c>
      <c r="Q34" s="104">
        <v>2.3E-2</v>
      </c>
      <c r="R34" s="104">
        <v>0.02</v>
      </c>
      <c r="S34" s="104">
        <v>1.7999999999999999E-2</v>
      </c>
      <c r="T34" s="104">
        <v>1.4999999999999999E-2</v>
      </c>
      <c r="U34" s="104">
        <v>1.2999999999999999E-2</v>
      </c>
      <c r="V34" s="104">
        <v>1.2E-2</v>
      </c>
      <c r="W34" s="104">
        <v>1.0999999999999999E-2</v>
      </c>
      <c r="X34" s="104">
        <v>8.9999999999999993E-3</v>
      </c>
      <c r="Y34" s="104">
        <v>8.0000000000000002E-3</v>
      </c>
      <c r="Z34" s="104">
        <v>7.0000000000000001E-3</v>
      </c>
      <c r="AA34" s="104">
        <v>7.0000000000000001E-3</v>
      </c>
      <c r="AB34" s="104">
        <v>7.0000000000000001E-3</v>
      </c>
      <c r="AC34" s="104">
        <v>6.0000000000000001E-3</v>
      </c>
      <c r="AD34" s="104">
        <v>6.0000000000000001E-3</v>
      </c>
      <c r="AE34" s="104">
        <v>6.0000000000000001E-3</v>
      </c>
      <c r="AF34" s="104">
        <v>6.0000000000000001E-3</v>
      </c>
      <c r="AG34" s="104">
        <v>6.0000000000000001E-3</v>
      </c>
      <c r="AH34" s="104">
        <v>5.0000000000000001E-3</v>
      </c>
      <c r="AI34" s="104">
        <v>5.0000000000000001E-3</v>
      </c>
      <c r="AJ34" s="104">
        <v>5.0000000000000001E-3</v>
      </c>
    </row>
    <row r="35" spans="2:36" x14ac:dyDescent="0.2">
      <c r="B35" s="1" t="s">
        <v>209</v>
      </c>
    </row>
    <row r="36" spans="2:36" x14ac:dyDescent="0.2">
      <c r="B36" s="1"/>
    </row>
    <row r="37" spans="2:36" ht="22.5" x14ac:dyDescent="0.2">
      <c r="B37" s="95" t="s">
        <v>325</v>
      </c>
      <c r="C37" s="95" t="s">
        <v>323</v>
      </c>
    </row>
    <row r="38" spans="2:36" x14ac:dyDescent="0.2">
      <c r="B38" s="171" t="s">
        <v>311</v>
      </c>
      <c r="C38" s="93">
        <v>2</v>
      </c>
    </row>
    <row r="39" spans="2:36" x14ac:dyDescent="0.2">
      <c r="B39" s="171" t="s">
        <v>312</v>
      </c>
      <c r="C39" s="93">
        <v>75</v>
      </c>
    </row>
    <row r="40" spans="2:36" x14ac:dyDescent="0.2">
      <c r="B40" s="1" t="s">
        <v>327</v>
      </c>
    </row>
    <row r="41" spans="2:36" x14ac:dyDescent="0.2">
      <c r="B41" s="1"/>
    </row>
    <row r="42" spans="2:36" x14ac:dyDescent="0.2">
      <c r="B42" s="196" t="s">
        <v>326</v>
      </c>
      <c r="C42" s="196"/>
      <c r="D42" s="196"/>
      <c r="E42" s="196"/>
    </row>
    <row r="43" spans="2:36" x14ac:dyDescent="0.2">
      <c r="B43" s="95" t="s">
        <v>313</v>
      </c>
      <c r="C43" s="169" t="s">
        <v>314</v>
      </c>
      <c r="D43" s="169" t="s">
        <v>315</v>
      </c>
      <c r="E43" s="95" t="s">
        <v>316</v>
      </c>
    </row>
    <row r="44" spans="2:36" x14ac:dyDescent="0.2">
      <c r="B44" s="170" t="s">
        <v>317</v>
      </c>
      <c r="C44" s="102">
        <v>6</v>
      </c>
      <c r="D44" s="102">
        <v>14</v>
      </c>
      <c r="E44" s="172" t="s">
        <v>318</v>
      </c>
    </row>
    <row r="45" spans="2:36" x14ac:dyDescent="0.2">
      <c r="B45" s="170" t="s">
        <v>319</v>
      </c>
      <c r="C45" s="102">
        <v>6</v>
      </c>
      <c r="D45" s="102">
        <v>5</v>
      </c>
      <c r="E45" s="172" t="s">
        <v>324</v>
      </c>
    </row>
    <row r="46" spans="2:36" x14ac:dyDescent="0.2">
      <c r="B46" s="170" t="s">
        <v>320</v>
      </c>
      <c r="C46" s="102">
        <v>12</v>
      </c>
      <c r="D46" s="102">
        <v>20</v>
      </c>
      <c r="E46" s="172" t="s">
        <v>324</v>
      </c>
    </row>
    <row r="47" spans="2:36" x14ac:dyDescent="0.2">
      <c r="B47" s="170" t="s">
        <v>321</v>
      </c>
      <c r="C47" s="102">
        <v>15</v>
      </c>
      <c r="D47" s="102">
        <v>526</v>
      </c>
      <c r="E47" s="172" t="s">
        <v>324</v>
      </c>
    </row>
    <row r="48" spans="2:36" x14ac:dyDescent="0.2">
      <c r="B48" s="170" t="s">
        <v>322</v>
      </c>
      <c r="C48" s="102">
        <v>1</v>
      </c>
      <c r="D48" s="102">
        <v>35</v>
      </c>
      <c r="E48" s="172" t="s">
        <v>324</v>
      </c>
    </row>
    <row r="49" spans="2:5" x14ac:dyDescent="0.2">
      <c r="B49" s="1" t="s">
        <v>328</v>
      </c>
    </row>
    <row r="50" spans="2:5" x14ac:dyDescent="0.2">
      <c r="B50" s="1"/>
    </row>
    <row r="51" spans="2:5" ht="22.5" x14ac:dyDescent="0.2">
      <c r="B51" s="95" t="s">
        <v>333</v>
      </c>
      <c r="C51" s="95" t="s">
        <v>323</v>
      </c>
    </row>
    <row r="52" spans="2:5" x14ac:dyDescent="0.2">
      <c r="B52" s="171" t="s">
        <v>311</v>
      </c>
      <c r="C52" s="93">
        <v>2.1</v>
      </c>
    </row>
    <row r="53" spans="2:5" x14ac:dyDescent="0.2">
      <c r="B53" s="1" t="s">
        <v>329</v>
      </c>
    </row>
    <row r="54" spans="2:5" x14ac:dyDescent="0.2">
      <c r="B54" s="1"/>
    </row>
    <row r="55" spans="2:5" x14ac:dyDescent="0.2">
      <c r="B55" s="196" t="s">
        <v>335</v>
      </c>
      <c r="C55" s="196"/>
      <c r="D55" s="196"/>
      <c r="E55" s="196"/>
    </row>
    <row r="56" spans="2:5" x14ac:dyDescent="0.2">
      <c r="B56" s="95" t="s">
        <v>313</v>
      </c>
      <c r="C56" s="169" t="s">
        <v>314</v>
      </c>
      <c r="D56" s="169" t="s">
        <v>315</v>
      </c>
      <c r="E56" s="95" t="s">
        <v>316</v>
      </c>
    </row>
    <row r="57" spans="2:5" x14ac:dyDescent="0.2">
      <c r="B57" s="170" t="s">
        <v>330</v>
      </c>
      <c r="C57" s="102" t="s">
        <v>331</v>
      </c>
      <c r="D57" s="102">
        <v>20</v>
      </c>
      <c r="E57" s="172" t="s">
        <v>324</v>
      </c>
    </row>
    <row r="58" spans="2:5" x14ac:dyDescent="0.2">
      <c r="B58" s="170" t="s">
        <v>321</v>
      </c>
      <c r="C58" s="102" t="s">
        <v>332</v>
      </c>
      <c r="D58" s="102">
        <v>526</v>
      </c>
      <c r="E58" s="172" t="s">
        <v>324</v>
      </c>
    </row>
    <row r="59" spans="2:5" x14ac:dyDescent="0.2">
      <c r="B59" s="1" t="s">
        <v>334</v>
      </c>
    </row>
    <row r="61" spans="2:5" x14ac:dyDescent="0.2">
      <c r="B61" s="193" t="s">
        <v>10</v>
      </c>
      <c r="C61" s="193"/>
    </row>
    <row r="62" spans="2:5" x14ac:dyDescent="0.2">
      <c r="B62" s="59" t="s">
        <v>168</v>
      </c>
      <c r="C62" s="162">
        <v>0.9</v>
      </c>
    </row>
    <row r="63" spans="2:5" x14ac:dyDescent="0.2">
      <c r="B63" s="4" t="s">
        <v>69</v>
      </c>
      <c r="C63" s="163">
        <v>0.5</v>
      </c>
    </row>
    <row r="64" spans="2:5" x14ac:dyDescent="0.2">
      <c r="B64" s="4" t="s">
        <v>169</v>
      </c>
      <c r="C64" s="163">
        <v>1</v>
      </c>
    </row>
    <row r="65" spans="2:7" x14ac:dyDescent="0.2">
      <c r="B65" s="1" t="s">
        <v>298</v>
      </c>
    </row>
    <row r="67" spans="2:7" x14ac:dyDescent="0.2">
      <c r="B67" s="22" t="s">
        <v>210</v>
      </c>
    </row>
    <row r="68" spans="2:7" ht="33.75" x14ac:dyDescent="0.2">
      <c r="B68" s="193" t="s">
        <v>170</v>
      </c>
      <c r="C68" s="193"/>
      <c r="D68" s="105" t="s">
        <v>171</v>
      </c>
      <c r="E68" s="105" t="s">
        <v>172</v>
      </c>
      <c r="F68" s="105" t="s">
        <v>173</v>
      </c>
      <c r="G68" s="103" t="s">
        <v>80</v>
      </c>
    </row>
    <row r="69" spans="2:7" x14ac:dyDescent="0.2">
      <c r="B69" s="194" t="s">
        <v>136</v>
      </c>
      <c r="C69" s="107" t="s">
        <v>174</v>
      </c>
      <c r="D69" s="106" t="s">
        <v>175</v>
      </c>
      <c r="E69" s="106" t="s">
        <v>175</v>
      </c>
      <c r="F69" s="108">
        <v>1</v>
      </c>
      <c r="G69" s="108">
        <f>SUM(D69:F69)</f>
        <v>1</v>
      </c>
    </row>
    <row r="70" spans="2:7" x14ac:dyDescent="0.2">
      <c r="B70" s="194"/>
      <c r="C70" s="109" t="s">
        <v>176</v>
      </c>
      <c r="D70" s="108">
        <v>0.25</v>
      </c>
      <c r="E70" s="108">
        <v>0.15</v>
      </c>
      <c r="F70" s="108">
        <v>0.6</v>
      </c>
      <c r="G70" s="108">
        <f t="shared" ref="G70:G75" si="0">SUM(D70:F70)</f>
        <v>1</v>
      </c>
    </row>
    <row r="71" spans="2:7" x14ac:dyDescent="0.2">
      <c r="B71" s="194"/>
      <c r="C71" s="109" t="s">
        <v>177</v>
      </c>
      <c r="D71" s="108">
        <v>0.5</v>
      </c>
      <c r="E71" s="108">
        <v>0.2</v>
      </c>
      <c r="F71" s="108">
        <v>0.3</v>
      </c>
      <c r="G71" s="108">
        <f t="shared" si="0"/>
        <v>1</v>
      </c>
    </row>
    <row r="72" spans="2:7" x14ac:dyDescent="0.2">
      <c r="B72" s="194"/>
      <c r="C72" s="109" t="s">
        <v>178</v>
      </c>
      <c r="D72" s="108">
        <v>0.7</v>
      </c>
      <c r="E72" s="108">
        <v>0.05</v>
      </c>
      <c r="F72" s="108">
        <v>0.25</v>
      </c>
      <c r="G72" s="108">
        <f t="shared" si="0"/>
        <v>1</v>
      </c>
    </row>
    <row r="73" spans="2:7" x14ac:dyDescent="0.2">
      <c r="B73" s="194" t="s">
        <v>135</v>
      </c>
      <c r="C73" s="109" t="s">
        <v>179</v>
      </c>
      <c r="D73" s="108">
        <v>0.35</v>
      </c>
      <c r="E73" s="108">
        <v>0.2</v>
      </c>
      <c r="F73" s="108">
        <v>0.45</v>
      </c>
      <c r="G73" s="108">
        <f t="shared" si="0"/>
        <v>1</v>
      </c>
    </row>
    <row r="74" spans="2:7" x14ac:dyDescent="0.2">
      <c r="B74" s="194"/>
      <c r="C74" s="109" t="s">
        <v>180</v>
      </c>
      <c r="D74" s="108">
        <v>0.35</v>
      </c>
      <c r="E74" s="108">
        <v>0.15</v>
      </c>
      <c r="F74" s="108">
        <v>0.5</v>
      </c>
      <c r="G74" s="108">
        <f t="shared" si="0"/>
        <v>1</v>
      </c>
    </row>
    <row r="75" spans="2:7" x14ac:dyDescent="0.2">
      <c r="B75" s="194"/>
      <c r="C75" s="109" t="s">
        <v>181</v>
      </c>
      <c r="D75" s="108">
        <v>0.45</v>
      </c>
      <c r="E75" s="108">
        <v>0.15</v>
      </c>
      <c r="F75" s="108">
        <v>0.4</v>
      </c>
      <c r="G75" s="108">
        <f t="shared" si="0"/>
        <v>1</v>
      </c>
    </row>
    <row r="76" spans="2:7" x14ac:dyDescent="0.2">
      <c r="B76" s="1" t="s">
        <v>211</v>
      </c>
    </row>
    <row r="78" spans="2:7" x14ac:dyDescent="0.2">
      <c r="B78" s="193" t="s">
        <v>182</v>
      </c>
      <c r="C78" s="193"/>
    </row>
    <row r="79" spans="2:7" x14ac:dyDescent="0.2">
      <c r="B79" s="4" t="s">
        <v>183</v>
      </c>
      <c r="C79" s="93">
        <v>1.8</v>
      </c>
    </row>
    <row r="80" spans="2:7" x14ac:dyDescent="0.2">
      <c r="B80" s="4" t="s">
        <v>184</v>
      </c>
      <c r="C80" s="93">
        <v>17</v>
      </c>
    </row>
    <row r="81" spans="2:37" x14ac:dyDescent="0.2">
      <c r="B81" s="4" t="s">
        <v>185</v>
      </c>
      <c r="C81" s="93">
        <v>20</v>
      </c>
    </row>
    <row r="82" spans="2:37" x14ac:dyDescent="0.2">
      <c r="B82" s="4" t="s">
        <v>186</v>
      </c>
      <c r="C82" s="93">
        <v>29</v>
      </c>
    </row>
    <row r="83" spans="2:37" x14ac:dyDescent="0.2">
      <c r="B83" s="4" t="s">
        <v>187</v>
      </c>
      <c r="C83" s="93">
        <v>1.1000000000000001</v>
      </c>
    </row>
    <row r="84" spans="2:37" x14ac:dyDescent="0.2">
      <c r="B84" s="4" t="s">
        <v>188</v>
      </c>
      <c r="C84" s="93">
        <v>1.2</v>
      </c>
    </row>
    <row r="85" spans="2:37" x14ac:dyDescent="0.2">
      <c r="B85" s="1" t="s">
        <v>212</v>
      </c>
    </row>
    <row r="87" spans="2:37" ht="22.5" x14ac:dyDescent="0.2">
      <c r="B87" s="103" t="s">
        <v>189</v>
      </c>
      <c r="C87" s="103" t="s">
        <v>190</v>
      </c>
      <c r="D87" s="105" t="s">
        <v>191</v>
      </c>
      <c r="E87" s="103" t="s">
        <v>192</v>
      </c>
    </row>
    <row r="88" spans="2:37" x14ac:dyDescent="0.2">
      <c r="B88" s="4" t="s">
        <v>193</v>
      </c>
      <c r="C88" s="108">
        <v>0.04</v>
      </c>
      <c r="D88" s="108">
        <v>0.3</v>
      </c>
      <c r="E88" s="108">
        <v>0.66</v>
      </c>
    </row>
    <row r="89" spans="2:37" x14ac:dyDescent="0.2">
      <c r="B89" s="4" t="s">
        <v>194</v>
      </c>
      <c r="C89" s="108">
        <v>0.02</v>
      </c>
      <c r="D89" s="108">
        <v>0.37</v>
      </c>
      <c r="E89" s="108">
        <v>0.61</v>
      </c>
    </row>
    <row r="90" spans="2:37" x14ac:dyDescent="0.2">
      <c r="B90" s="4" t="s">
        <v>195</v>
      </c>
      <c r="C90" s="108">
        <v>0.04</v>
      </c>
      <c r="D90" s="108">
        <v>0.34</v>
      </c>
      <c r="E90" s="108">
        <v>0.62</v>
      </c>
    </row>
    <row r="91" spans="2:37" x14ac:dyDescent="0.2">
      <c r="B91" s="4" t="s">
        <v>196</v>
      </c>
      <c r="C91" s="108">
        <v>0.02</v>
      </c>
      <c r="D91" s="108">
        <v>0.33</v>
      </c>
      <c r="E91" s="108">
        <v>0.65</v>
      </c>
    </row>
    <row r="92" spans="2:37" x14ac:dyDescent="0.2">
      <c r="B92" s="4" t="s">
        <v>81</v>
      </c>
      <c r="C92" s="108">
        <v>1</v>
      </c>
      <c r="D92" s="108">
        <v>0</v>
      </c>
      <c r="E92" s="108">
        <v>0</v>
      </c>
    </row>
    <row r="93" spans="2:37" x14ac:dyDescent="0.2">
      <c r="B93" s="1" t="s">
        <v>213</v>
      </c>
    </row>
    <row r="95" spans="2:37" ht="25.5" customHeight="1" x14ac:dyDescent="0.2">
      <c r="B95" s="105" t="s">
        <v>214</v>
      </c>
      <c r="C95" s="103">
        <v>2016</v>
      </c>
      <c r="D95" s="103">
        <v>2017</v>
      </c>
      <c r="E95" s="103">
        <v>2018</v>
      </c>
      <c r="F95" s="103">
        <v>2019</v>
      </c>
      <c r="G95" s="103">
        <v>2020</v>
      </c>
      <c r="H95" s="103">
        <v>2021</v>
      </c>
      <c r="I95" s="103">
        <v>2022</v>
      </c>
      <c r="J95" s="103">
        <v>2023</v>
      </c>
      <c r="K95" s="103">
        <v>2024</v>
      </c>
      <c r="L95" s="103">
        <v>2025</v>
      </c>
      <c r="M95" s="103">
        <v>2026</v>
      </c>
      <c r="N95" s="103">
        <v>2027</v>
      </c>
      <c r="O95" s="103">
        <v>2028</v>
      </c>
      <c r="P95" s="103">
        <v>2029</v>
      </c>
      <c r="Q95" s="103">
        <v>2030</v>
      </c>
      <c r="R95" s="103">
        <v>2031</v>
      </c>
      <c r="S95" s="103">
        <v>2032</v>
      </c>
      <c r="T95" s="103">
        <v>2033</v>
      </c>
      <c r="U95" s="103">
        <v>2034</v>
      </c>
      <c r="V95" s="103">
        <v>2035</v>
      </c>
      <c r="W95" s="103">
        <v>2036</v>
      </c>
      <c r="X95" s="103">
        <v>2037</v>
      </c>
      <c r="Y95" s="103">
        <v>2038</v>
      </c>
      <c r="Z95" s="103">
        <v>2039</v>
      </c>
      <c r="AA95" s="103">
        <v>2040</v>
      </c>
      <c r="AB95" s="103">
        <v>2041</v>
      </c>
      <c r="AC95" s="103">
        <v>2042</v>
      </c>
      <c r="AD95" s="103">
        <v>2043</v>
      </c>
      <c r="AE95" s="103">
        <v>2044</v>
      </c>
      <c r="AF95" s="103">
        <v>2045</v>
      </c>
      <c r="AG95" s="103">
        <v>2046</v>
      </c>
      <c r="AH95" s="103">
        <v>2047</v>
      </c>
      <c r="AI95" s="103">
        <v>2048</v>
      </c>
      <c r="AJ95" s="103">
        <v>2049</v>
      </c>
      <c r="AK95" s="103">
        <v>2050</v>
      </c>
    </row>
    <row r="96" spans="2:37" x14ac:dyDescent="0.2">
      <c r="B96" s="164" t="s">
        <v>234</v>
      </c>
      <c r="C96" s="165">
        <v>15.76</v>
      </c>
      <c r="D96" s="165">
        <f t="shared" ref="D96:AK96" si="1">ROUND(C96*(1+(0.7*C34)),2)</f>
        <v>16.12</v>
      </c>
      <c r="E96" s="165">
        <f t="shared" si="1"/>
        <v>16.57</v>
      </c>
      <c r="F96" s="110">
        <f t="shared" si="1"/>
        <v>17.079999999999998</v>
      </c>
      <c r="G96" s="110">
        <f t="shared" si="1"/>
        <v>17.53</v>
      </c>
      <c r="H96" s="110">
        <f t="shared" si="1"/>
        <v>17.97</v>
      </c>
      <c r="I96" s="110">
        <f t="shared" si="1"/>
        <v>18.41</v>
      </c>
      <c r="J96" s="110">
        <f t="shared" si="1"/>
        <v>18.84</v>
      </c>
      <c r="K96" s="110">
        <f t="shared" si="1"/>
        <v>19.260000000000002</v>
      </c>
      <c r="L96" s="110">
        <f t="shared" si="1"/>
        <v>19.66</v>
      </c>
      <c r="M96" s="110">
        <f t="shared" si="1"/>
        <v>20.059999999999999</v>
      </c>
      <c r="N96" s="110">
        <f t="shared" si="1"/>
        <v>20.45</v>
      </c>
      <c r="O96" s="110">
        <f t="shared" si="1"/>
        <v>20.84</v>
      </c>
      <c r="P96" s="110">
        <f t="shared" si="1"/>
        <v>21.22</v>
      </c>
      <c r="Q96" s="110">
        <f t="shared" si="1"/>
        <v>21.59</v>
      </c>
      <c r="R96" s="110">
        <f t="shared" si="1"/>
        <v>21.94</v>
      </c>
      <c r="S96" s="110">
        <f t="shared" si="1"/>
        <v>22.25</v>
      </c>
      <c r="T96" s="110">
        <f t="shared" si="1"/>
        <v>22.53</v>
      </c>
      <c r="U96" s="110">
        <f t="shared" si="1"/>
        <v>22.77</v>
      </c>
      <c r="V96" s="110">
        <f t="shared" si="1"/>
        <v>22.98</v>
      </c>
      <c r="W96" s="110">
        <f t="shared" si="1"/>
        <v>23.17</v>
      </c>
      <c r="X96" s="110">
        <f t="shared" si="1"/>
        <v>23.35</v>
      </c>
      <c r="Y96" s="110">
        <f t="shared" si="1"/>
        <v>23.5</v>
      </c>
      <c r="Z96" s="110">
        <f t="shared" si="1"/>
        <v>23.63</v>
      </c>
      <c r="AA96" s="110">
        <f t="shared" si="1"/>
        <v>23.75</v>
      </c>
      <c r="AB96" s="110">
        <f t="shared" si="1"/>
        <v>23.87</v>
      </c>
      <c r="AC96" s="110">
        <f t="shared" si="1"/>
        <v>23.99</v>
      </c>
      <c r="AD96" s="110">
        <f t="shared" si="1"/>
        <v>24.09</v>
      </c>
      <c r="AE96" s="110">
        <f t="shared" si="1"/>
        <v>24.19</v>
      </c>
      <c r="AF96" s="110">
        <f t="shared" si="1"/>
        <v>24.29</v>
      </c>
      <c r="AG96" s="110">
        <f t="shared" si="1"/>
        <v>24.39</v>
      </c>
      <c r="AH96" s="110">
        <f t="shared" si="1"/>
        <v>24.49</v>
      </c>
      <c r="AI96" s="110">
        <f t="shared" si="1"/>
        <v>24.58</v>
      </c>
      <c r="AJ96" s="110">
        <f t="shared" si="1"/>
        <v>24.67</v>
      </c>
      <c r="AK96" s="110">
        <f t="shared" si="1"/>
        <v>24.76</v>
      </c>
    </row>
    <row r="97" spans="2:37" x14ac:dyDescent="0.2">
      <c r="B97" s="107" t="s">
        <v>233</v>
      </c>
      <c r="C97" s="166">
        <v>12.65</v>
      </c>
      <c r="D97" s="166">
        <f t="shared" ref="D97:AK97" si="2">ROUND(C97*(1+(0.7*C34)),2)</f>
        <v>12.94</v>
      </c>
      <c r="E97" s="166">
        <f t="shared" si="2"/>
        <v>13.3</v>
      </c>
      <c r="F97" s="111">
        <f t="shared" si="2"/>
        <v>13.71</v>
      </c>
      <c r="G97" s="111">
        <f t="shared" si="2"/>
        <v>14.07</v>
      </c>
      <c r="H97" s="111">
        <f t="shared" si="2"/>
        <v>14.42</v>
      </c>
      <c r="I97" s="111">
        <f t="shared" si="2"/>
        <v>14.77</v>
      </c>
      <c r="J97" s="111">
        <f t="shared" si="2"/>
        <v>15.11</v>
      </c>
      <c r="K97" s="111">
        <f t="shared" si="2"/>
        <v>15.45</v>
      </c>
      <c r="L97" s="111">
        <f t="shared" si="2"/>
        <v>15.77</v>
      </c>
      <c r="M97" s="111">
        <f t="shared" si="2"/>
        <v>16.09</v>
      </c>
      <c r="N97" s="111">
        <f t="shared" si="2"/>
        <v>16.41</v>
      </c>
      <c r="O97" s="111">
        <f t="shared" si="2"/>
        <v>16.72</v>
      </c>
      <c r="P97" s="111">
        <f t="shared" si="2"/>
        <v>17.02</v>
      </c>
      <c r="Q97" s="111">
        <f t="shared" si="2"/>
        <v>17.32</v>
      </c>
      <c r="R97" s="111">
        <f t="shared" si="2"/>
        <v>17.600000000000001</v>
      </c>
      <c r="S97" s="111">
        <f t="shared" si="2"/>
        <v>17.850000000000001</v>
      </c>
      <c r="T97" s="111">
        <f t="shared" si="2"/>
        <v>18.07</v>
      </c>
      <c r="U97" s="111">
        <f t="shared" si="2"/>
        <v>18.260000000000002</v>
      </c>
      <c r="V97" s="111">
        <f t="shared" si="2"/>
        <v>18.43</v>
      </c>
      <c r="W97" s="111">
        <f t="shared" si="2"/>
        <v>18.579999999999998</v>
      </c>
      <c r="X97" s="111">
        <f t="shared" si="2"/>
        <v>18.72</v>
      </c>
      <c r="Y97" s="111">
        <f t="shared" si="2"/>
        <v>18.84</v>
      </c>
      <c r="Z97" s="111">
        <f t="shared" si="2"/>
        <v>18.95</v>
      </c>
      <c r="AA97" s="111">
        <f t="shared" si="2"/>
        <v>19.04</v>
      </c>
      <c r="AB97" s="111">
        <f t="shared" si="2"/>
        <v>19.13</v>
      </c>
      <c r="AC97" s="111">
        <f t="shared" si="2"/>
        <v>19.22</v>
      </c>
      <c r="AD97" s="111">
        <f t="shared" si="2"/>
        <v>19.3</v>
      </c>
      <c r="AE97" s="111">
        <f t="shared" si="2"/>
        <v>19.38</v>
      </c>
      <c r="AF97" s="111">
        <f t="shared" si="2"/>
        <v>19.46</v>
      </c>
      <c r="AG97" s="111">
        <f t="shared" si="2"/>
        <v>19.54</v>
      </c>
      <c r="AH97" s="111">
        <f t="shared" si="2"/>
        <v>19.62</v>
      </c>
      <c r="AI97" s="111">
        <f t="shared" si="2"/>
        <v>19.690000000000001</v>
      </c>
      <c r="AJ97" s="111">
        <f t="shared" si="2"/>
        <v>19.760000000000002</v>
      </c>
      <c r="AK97" s="111">
        <f t="shared" si="2"/>
        <v>19.829999999999998</v>
      </c>
    </row>
    <row r="98" spans="2:37" x14ac:dyDescent="0.2">
      <c r="B98" s="167" t="s">
        <v>232</v>
      </c>
      <c r="C98" s="166">
        <v>5.86</v>
      </c>
      <c r="D98" s="166">
        <f t="shared" ref="D98:AK98" si="3">ROUND(C98*(1+(0.5*C34)),2)</f>
        <v>5.96</v>
      </c>
      <c r="E98" s="166">
        <f t="shared" si="3"/>
        <v>6.08</v>
      </c>
      <c r="F98" s="111">
        <f t="shared" si="3"/>
        <v>6.21</v>
      </c>
      <c r="G98" s="111">
        <f t="shared" si="3"/>
        <v>6.33</v>
      </c>
      <c r="H98" s="111">
        <f t="shared" si="3"/>
        <v>6.44</v>
      </c>
      <c r="I98" s="111">
        <f t="shared" si="3"/>
        <v>6.55</v>
      </c>
      <c r="J98" s="111">
        <f t="shared" si="3"/>
        <v>6.66</v>
      </c>
      <c r="K98" s="111">
        <f t="shared" si="3"/>
        <v>6.77</v>
      </c>
      <c r="L98" s="111">
        <f t="shared" si="3"/>
        <v>6.87</v>
      </c>
      <c r="M98" s="111">
        <f t="shared" si="3"/>
        <v>6.97</v>
      </c>
      <c r="N98" s="111">
        <f t="shared" si="3"/>
        <v>7.07</v>
      </c>
      <c r="O98" s="111">
        <f t="shared" si="3"/>
        <v>7.17</v>
      </c>
      <c r="P98" s="111">
        <f t="shared" si="3"/>
        <v>7.26</v>
      </c>
      <c r="Q98" s="111">
        <f t="shared" si="3"/>
        <v>7.35</v>
      </c>
      <c r="R98" s="111">
        <f t="shared" si="3"/>
        <v>7.43</v>
      </c>
      <c r="S98" s="111">
        <f t="shared" si="3"/>
        <v>7.5</v>
      </c>
      <c r="T98" s="111">
        <f t="shared" si="3"/>
        <v>7.57</v>
      </c>
      <c r="U98" s="111">
        <f t="shared" si="3"/>
        <v>7.63</v>
      </c>
      <c r="V98" s="111">
        <f t="shared" si="3"/>
        <v>7.68</v>
      </c>
      <c r="W98" s="111">
        <f t="shared" si="3"/>
        <v>7.73</v>
      </c>
      <c r="X98" s="111">
        <f t="shared" si="3"/>
        <v>7.77</v>
      </c>
      <c r="Y98" s="111">
        <f t="shared" si="3"/>
        <v>7.8</v>
      </c>
      <c r="Z98" s="111">
        <f t="shared" si="3"/>
        <v>7.83</v>
      </c>
      <c r="AA98" s="111">
        <f t="shared" si="3"/>
        <v>7.86</v>
      </c>
      <c r="AB98" s="111">
        <f t="shared" si="3"/>
        <v>7.89</v>
      </c>
      <c r="AC98" s="111">
        <f t="shared" si="3"/>
        <v>7.92</v>
      </c>
      <c r="AD98" s="111">
        <f t="shared" si="3"/>
        <v>7.94</v>
      </c>
      <c r="AE98" s="111">
        <f t="shared" si="3"/>
        <v>7.96</v>
      </c>
      <c r="AF98" s="111">
        <f t="shared" si="3"/>
        <v>7.98</v>
      </c>
      <c r="AG98" s="111">
        <f t="shared" si="3"/>
        <v>8</v>
      </c>
      <c r="AH98" s="111">
        <f t="shared" si="3"/>
        <v>8.02</v>
      </c>
      <c r="AI98" s="111">
        <f t="shared" si="3"/>
        <v>8.0399999999999991</v>
      </c>
      <c r="AJ98" s="111">
        <f t="shared" si="3"/>
        <v>8.06</v>
      </c>
      <c r="AK98" s="111">
        <f t="shared" si="3"/>
        <v>8.08</v>
      </c>
    </row>
    <row r="99" spans="2:37" x14ac:dyDescent="0.2">
      <c r="B99" s="167" t="s">
        <v>231</v>
      </c>
      <c r="C99" s="166">
        <v>4.22</v>
      </c>
      <c r="D99" s="166">
        <f t="shared" ref="D99:AK99" si="4">ROUND(C99*(1+(0.5*C34)),2)</f>
        <v>4.29</v>
      </c>
      <c r="E99" s="166">
        <f t="shared" si="4"/>
        <v>4.38</v>
      </c>
      <c r="F99" s="111">
        <f t="shared" si="4"/>
        <v>4.4800000000000004</v>
      </c>
      <c r="G99" s="111">
        <f t="shared" si="4"/>
        <v>4.57</v>
      </c>
      <c r="H99" s="111">
        <f t="shared" si="4"/>
        <v>4.6500000000000004</v>
      </c>
      <c r="I99" s="111">
        <f t="shared" si="4"/>
        <v>4.7300000000000004</v>
      </c>
      <c r="J99" s="111">
        <f t="shared" si="4"/>
        <v>4.8099999999999996</v>
      </c>
      <c r="K99" s="111">
        <f t="shared" si="4"/>
        <v>4.8899999999999997</v>
      </c>
      <c r="L99" s="111">
        <f t="shared" si="4"/>
        <v>4.96</v>
      </c>
      <c r="M99" s="111">
        <f t="shared" si="4"/>
        <v>5.03</v>
      </c>
      <c r="N99" s="111">
        <f t="shared" si="4"/>
        <v>5.0999999999999996</v>
      </c>
      <c r="O99" s="111">
        <f t="shared" si="4"/>
        <v>5.17</v>
      </c>
      <c r="P99" s="111">
        <f t="shared" si="4"/>
        <v>5.24</v>
      </c>
      <c r="Q99" s="111">
        <f t="shared" si="4"/>
        <v>5.31</v>
      </c>
      <c r="R99" s="111">
        <f t="shared" si="4"/>
        <v>5.37</v>
      </c>
      <c r="S99" s="111">
        <f t="shared" si="4"/>
        <v>5.42</v>
      </c>
      <c r="T99" s="111">
        <f t="shared" si="4"/>
        <v>5.47</v>
      </c>
      <c r="U99" s="111">
        <f t="shared" si="4"/>
        <v>5.51</v>
      </c>
      <c r="V99" s="111">
        <f t="shared" si="4"/>
        <v>5.55</v>
      </c>
      <c r="W99" s="111">
        <f t="shared" si="4"/>
        <v>5.58</v>
      </c>
      <c r="X99" s="111">
        <f t="shared" si="4"/>
        <v>5.61</v>
      </c>
      <c r="Y99" s="111">
        <f t="shared" si="4"/>
        <v>5.64</v>
      </c>
      <c r="Z99" s="111">
        <f t="shared" si="4"/>
        <v>5.66</v>
      </c>
      <c r="AA99" s="111">
        <f t="shared" si="4"/>
        <v>5.68</v>
      </c>
      <c r="AB99" s="111">
        <f t="shared" si="4"/>
        <v>5.7</v>
      </c>
      <c r="AC99" s="111">
        <f t="shared" si="4"/>
        <v>5.72</v>
      </c>
      <c r="AD99" s="111">
        <f t="shared" si="4"/>
        <v>5.74</v>
      </c>
      <c r="AE99" s="111">
        <f t="shared" si="4"/>
        <v>5.76</v>
      </c>
      <c r="AF99" s="111">
        <f t="shared" si="4"/>
        <v>5.78</v>
      </c>
      <c r="AG99" s="111">
        <f t="shared" si="4"/>
        <v>5.8</v>
      </c>
      <c r="AH99" s="111">
        <f t="shared" si="4"/>
        <v>5.82</v>
      </c>
      <c r="AI99" s="111">
        <f t="shared" si="4"/>
        <v>5.83</v>
      </c>
      <c r="AJ99" s="111">
        <f t="shared" si="4"/>
        <v>5.84</v>
      </c>
      <c r="AK99" s="111">
        <f t="shared" si="4"/>
        <v>5.85</v>
      </c>
    </row>
    <row r="100" spans="2:37" x14ac:dyDescent="0.2">
      <c r="B100" s="167" t="s">
        <v>225</v>
      </c>
      <c r="C100" s="166">
        <v>7.54</v>
      </c>
      <c r="D100" s="166">
        <f t="shared" ref="D100:AK100" si="5">ROUND(C100*(1+(0.5*C34)),2)</f>
        <v>7.66</v>
      </c>
      <c r="E100" s="166">
        <f t="shared" si="5"/>
        <v>7.81</v>
      </c>
      <c r="F100" s="111">
        <f t="shared" si="5"/>
        <v>7.98</v>
      </c>
      <c r="G100" s="111">
        <f t="shared" si="5"/>
        <v>8.1300000000000008</v>
      </c>
      <c r="H100" s="111">
        <f t="shared" si="5"/>
        <v>8.2799999999999994</v>
      </c>
      <c r="I100" s="111">
        <f t="shared" si="5"/>
        <v>8.42</v>
      </c>
      <c r="J100" s="111">
        <f t="shared" si="5"/>
        <v>8.56</v>
      </c>
      <c r="K100" s="111">
        <f t="shared" si="5"/>
        <v>8.6999999999999993</v>
      </c>
      <c r="L100" s="111">
        <f t="shared" si="5"/>
        <v>8.83</v>
      </c>
      <c r="M100" s="111">
        <f t="shared" si="5"/>
        <v>8.9600000000000009</v>
      </c>
      <c r="N100" s="111">
        <f t="shared" si="5"/>
        <v>9.09</v>
      </c>
      <c r="O100" s="111">
        <f t="shared" si="5"/>
        <v>9.2100000000000009</v>
      </c>
      <c r="P100" s="111">
        <f t="shared" si="5"/>
        <v>9.33</v>
      </c>
      <c r="Q100" s="111">
        <f t="shared" si="5"/>
        <v>9.4499999999999993</v>
      </c>
      <c r="R100" s="111">
        <f t="shared" si="5"/>
        <v>9.56</v>
      </c>
      <c r="S100" s="111">
        <f t="shared" si="5"/>
        <v>9.66</v>
      </c>
      <c r="T100" s="111">
        <f t="shared" si="5"/>
        <v>9.75</v>
      </c>
      <c r="U100" s="111">
        <f t="shared" si="5"/>
        <v>9.82</v>
      </c>
      <c r="V100" s="111">
        <f t="shared" si="5"/>
        <v>9.8800000000000008</v>
      </c>
      <c r="W100" s="111">
        <f t="shared" si="5"/>
        <v>9.94</v>
      </c>
      <c r="X100" s="111">
        <f t="shared" si="5"/>
        <v>9.99</v>
      </c>
      <c r="Y100" s="111">
        <f t="shared" si="5"/>
        <v>10.029999999999999</v>
      </c>
      <c r="Z100" s="111">
        <f t="shared" si="5"/>
        <v>10.07</v>
      </c>
      <c r="AA100" s="111">
        <f t="shared" si="5"/>
        <v>10.11</v>
      </c>
      <c r="AB100" s="111">
        <f t="shared" si="5"/>
        <v>10.15</v>
      </c>
      <c r="AC100" s="111">
        <f t="shared" si="5"/>
        <v>10.19</v>
      </c>
      <c r="AD100" s="111">
        <f t="shared" si="5"/>
        <v>10.220000000000001</v>
      </c>
      <c r="AE100" s="111">
        <f t="shared" si="5"/>
        <v>10.25</v>
      </c>
      <c r="AF100" s="111">
        <f t="shared" si="5"/>
        <v>10.28</v>
      </c>
      <c r="AG100" s="111">
        <f t="shared" si="5"/>
        <v>10.31</v>
      </c>
      <c r="AH100" s="111">
        <f t="shared" si="5"/>
        <v>10.34</v>
      </c>
      <c r="AI100" s="111">
        <f t="shared" si="5"/>
        <v>10.37</v>
      </c>
      <c r="AJ100" s="111">
        <f t="shared" si="5"/>
        <v>10.4</v>
      </c>
      <c r="AK100" s="111">
        <f t="shared" si="5"/>
        <v>10.43</v>
      </c>
    </row>
    <row r="101" spans="2:37" x14ac:dyDescent="0.2">
      <c r="B101" s="167" t="s">
        <v>226</v>
      </c>
      <c r="C101" s="166">
        <v>5.42</v>
      </c>
      <c r="D101" s="166">
        <f t="shared" ref="D101:AK101" si="6">ROUND(C101*(1+(0.5*C34)),2)</f>
        <v>5.51</v>
      </c>
      <c r="E101" s="166">
        <f t="shared" si="6"/>
        <v>5.62</v>
      </c>
      <c r="F101" s="111">
        <f t="shared" si="6"/>
        <v>5.74</v>
      </c>
      <c r="G101" s="111">
        <f t="shared" si="6"/>
        <v>5.85</v>
      </c>
      <c r="H101" s="111">
        <f t="shared" si="6"/>
        <v>5.96</v>
      </c>
      <c r="I101" s="111">
        <f t="shared" si="6"/>
        <v>6.06</v>
      </c>
      <c r="J101" s="111">
        <f t="shared" si="6"/>
        <v>6.16</v>
      </c>
      <c r="K101" s="111">
        <f t="shared" si="6"/>
        <v>6.26</v>
      </c>
      <c r="L101" s="111">
        <f t="shared" si="6"/>
        <v>6.35</v>
      </c>
      <c r="M101" s="111">
        <f t="shared" si="6"/>
        <v>6.44</v>
      </c>
      <c r="N101" s="111">
        <f t="shared" si="6"/>
        <v>6.53</v>
      </c>
      <c r="O101" s="111">
        <f t="shared" si="6"/>
        <v>6.62</v>
      </c>
      <c r="P101" s="111">
        <f t="shared" si="6"/>
        <v>6.71</v>
      </c>
      <c r="Q101" s="111">
        <f t="shared" si="6"/>
        <v>6.79</v>
      </c>
      <c r="R101" s="111">
        <f t="shared" si="6"/>
        <v>6.87</v>
      </c>
      <c r="S101" s="111">
        <f t="shared" si="6"/>
        <v>6.94</v>
      </c>
      <c r="T101" s="111">
        <f t="shared" si="6"/>
        <v>7</v>
      </c>
      <c r="U101" s="111">
        <f t="shared" si="6"/>
        <v>7.05</v>
      </c>
      <c r="V101" s="111">
        <f t="shared" si="6"/>
        <v>7.1</v>
      </c>
      <c r="W101" s="111">
        <f t="shared" si="6"/>
        <v>7.14</v>
      </c>
      <c r="X101" s="111">
        <f t="shared" si="6"/>
        <v>7.18</v>
      </c>
      <c r="Y101" s="111">
        <f t="shared" si="6"/>
        <v>7.21</v>
      </c>
      <c r="Z101" s="111">
        <f t="shared" si="6"/>
        <v>7.24</v>
      </c>
      <c r="AA101" s="111">
        <f t="shared" si="6"/>
        <v>7.27</v>
      </c>
      <c r="AB101" s="111">
        <f t="shared" si="6"/>
        <v>7.3</v>
      </c>
      <c r="AC101" s="111">
        <f t="shared" si="6"/>
        <v>7.33</v>
      </c>
      <c r="AD101" s="111">
        <f t="shared" si="6"/>
        <v>7.35</v>
      </c>
      <c r="AE101" s="111">
        <f t="shared" si="6"/>
        <v>7.37</v>
      </c>
      <c r="AF101" s="111">
        <f t="shared" si="6"/>
        <v>7.39</v>
      </c>
      <c r="AG101" s="111">
        <f t="shared" si="6"/>
        <v>7.41</v>
      </c>
      <c r="AH101" s="111">
        <f t="shared" si="6"/>
        <v>7.43</v>
      </c>
      <c r="AI101" s="111">
        <f t="shared" si="6"/>
        <v>7.45</v>
      </c>
      <c r="AJ101" s="111">
        <f t="shared" si="6"/>
        <v>7.47</v>
      </c>
      <c r="AK101" s="111">
        <f t="shared" si="6"/>
        <v>7.49</v>
      </c>
    </row>
    <row r="102" spans="2:37" x14ac:dyDescent="0.2">
      <c r="B102" s="167" t="s">
        <v>227</v>
      </c>
      <c r="C102" s="166">
        <v>4.92</v>
      </c>
      <c r="D102" s="166">
        <f t="shared" ref="D102:AK102" si="7">ROUND(C102*(1+(0.5*C34)),2)</f>
        <v>5</v>
      </c>
      <c r="E102" s="166">
        <f t="shared" si="7"/>
        <v>5.0999999999999996</v>
      </c>
      <c r="F102" s="111">
        <f t="shared" si="7"/>
        <v>5.21</v>
      </c>
      <c r="G102" s="111">
        <f t="shared" si="7"/>
        <v>5.31</v>
      </c>
      <c r="H102" s="111">
        <f t="shared" si="7"/>
        <v>5.41</v>
      </c>
      <c r="I102" s="111">
        <f t="shared" si="7"/>
        <v>5.5</v>
      </c>
      <c r="J102" s="111">
        <f t="shared" si="7"/>
        <v>5.59</v>
      </c>
      <c r="K102" s="111">
        <f t="shared" si="7"/>
        <v>5.68</v>
      </c>
      <c r="L102" s="111">
        <f t="shared" si="7"/>
        <v>5.77</v>
      </c>
      <c r="M102" s="111">
        <f t="shared" si="7"/>
        <v>5.85</v>
      </c>
      <c r="N102" s="111">
        <f t="shared" si="7"/>
        <v>5.93</v>
      </c>
      <c r="O102" s="111">
        <f t="shared" si="7"/>
        <v>6.01</v>
      </c>
      <c r="P102" s="111">
        <f t="shared" si="7"/>
        <v>6.09</v>
      </c>
      <c r="Q102" s="111">
        <f t="shared" si="7"/>
        <v>6.17</v>
      </c>
      <c r="R102" s="111">
        <f t="shared" si="7"/>
        <v>6.24</v>
      </c>
      <c r="S102" s="111">
        <f t="shared" si="7"/>
        <v>6.3</v>
      </c>
      <c r="T102" s="111">
        <f t="shared" si="7"/>
        <v>6.36</v>
      </c>
      <c r="U102" s="111">
        <f t="shared" si="7"/>
        <v>6.41</v>
      </c>
      <c r="V102" s="111">
        <f t="shared" si="7"/>
        <v>6.45</v>
      </c>
      <c r="W102" s="111">
        <f t="shared" si="7"/>
        <v>6.49</v>
      </c>
      <c r="X102" s="111">
        <f t="shared" si="7"/>
        <v>6.53</v>
      </c>
      <c r="Y102" s="111">
        <f t="shared" si="7"/>
        <v>6.56</v>
      </c>
      <c r="Z102" s="111">
        <f t="shared" si="7"/>
        <v>6.59</v>
      </c>
      <c r="AA102" s="111">
        <f t="shared" si="7"/>
        <v>6.61</v>
      </c>
      <c r="AB102" s="111">
        <f t="shared" si="7"/>
        <v>6.63</v>
      </c>
      <c r="AC102" s="111">
        <f t="shared" si="7"/>
        <v>6.65</v>
      </c>
      <c r="AD102" s="111">
        <f t="shared" si="7"/>
        <v>6.67</v>
      </c>
      <c r="AE102" s="111">
        <f t="shared" si="7"/>
        <v>6.69</v>
      </c>
      <c r="AF102" s="111">
        <f t="shared" si="7"/>
        <v>6.71</v>
      </c>
      <c r="AG102" s="111">
        <f t="shared" si="7"/>
        <v>6.73</v>
      </c>
      <c r="AH102" s="111">
        <f t="shared" si="7"/>
        <v>6.75</v>
      </c>
      <c r="AI102" s="111">
        <f t="shared" si="7"/>
        <v>6.77</v>
      </c>
      <c r="AJ102" s="111">
        <f t="shared" si="7"/>
        <v>6.79</v>
      </c>
      <c r="AK102" s="111">
        <f t="shared" si="7"/>
        <v>6.81</v>
      </c>
    </row>
    <row r="103" spans="2:37" x14ac:dyDescent="0.2">
      <c r="B103" s="167" t="s">
        <v>228</v>
      </c>
      <c r="C103" s="166">
        <v>3.54</v>
      </c>
      <c r="D103" s="166">
        <f t="shared" ref="D103:AK103" si="8">ROUND(C103*(1+(0.5*C34)),2)</f>
        <v>3.6</v>
      </c>
      <c r="E103" s="166">
        <f t="shared" si="8"/>
        <v>3.67</v>
      </c>
      <c r="F103" s="111">
        <f t="shared" si="8"/>
        <v>3.75</v>
      </c>
      <c r="G103" s="111">
        <f t="shared" si="8"/>
        <v>3.82</v>
      </c>
      <c r="H103" s="111">
        <f t="shared" si="8"/>
        <v>3.89</v>
      </c>
      <c r="I103" s="111">
        <f t="shared" si="8"/>
        <v>3.96</v>
      </c>
      <c r="J103" s="111">
        <f t="shared" si="8"/>
        <v>4.03</v>
      </c>
      <c r="K103" s="111">
        <f t="shared" si="8"/>
        <v>4.09</v>
      </c>
      <c r="L103" s="111">
        <f t="shared" si="8"/>
        <v>4.1500000000000004</v>
      </c>
      <c r="M103" s="111">
        <f t="shared" si="8"/>
        <v>4.21</v>
      </c>
      <c r="N103" s="111">
        <f t="shared" si="8"/>
        <v>4.2699999999999996</v>
      </c>
      <c r="O103" s="111">
        <f t="shared" si="8"/>
        <v>4.33</v>
      </c>
      <c r="P103" s="111">
        <f t="shared" si="8"/>
        <v>4.3899999999999997</v>
      </c>
      <c r="Q103" s="111">
        <f t="shared" si="8"/>
        <v>4.4400000000000004</v>
      </c>
      <c r="R103" s="111">
        <f t="shared" si="8"/>
        <v>4.49</v>
      </c>
      <c r="S103" s="111">
        <f t="shared" si="8"/>
        <v>4.53</v>
      </c>
      <c r="T103" s="111">
        <f t="shared" si="8"/>
        <v>4.57</v>
      </c>
      <c r="U103" s="111">
        <f t="shared" si="8"/>
        <v>4.5999999999999996</v>
      </c>
      <c r="V103" s="111">
        <f t="shared" si="8"/>
        <v>4.63</v>
      </c>
      <c r="W103" s="111">
        <f t="shared" si="8"/>
        <v>4.66</v>
      </c>
      <c r="X103" s="111">
        <f t="shared" si="8"/>
        <v>4.6900000000000004</v>
      </c>
      <c r="Y103" s="111">
        <f t="shared" si="8"/>
        <v>4.71</v>
      </c>
      <c r="Z103" s="111">
        <f t="shared" si="8"/>
        <v>4.7300000000000004</v>
      </c>
      <c r="AA103" s="111">
        <f t="shared" si="8"/>
        <v>4.75</v>
      </c>
      <c r="AB103" s="111">
        <f t="shared" si="8"/>
        <v>4.7699999999999996</v>
      </c>
      <c r="AC103" s="111">
        <f t="shared" si="8"/>
        <v>4.79</v>
      </c>
      <c r="AD103" s="111">
        <f t="shared" si="8"/>
        <v>4.8</v>
      </c>
      <c r="AE103" s="111">
        <f t="shared" si="8"/>
        <v>4.8099999999999996</v>
      </c>
      <c r="AF103" s="111">
        <f t="shared" si="8"/>
        <v>4.82</v>
      </c>
      <c r="AG103" s="111">
        <f t="shared" si="8"/>
        <v>4.83</v>
      </c>
      <c r="AH103" s="111">
        <f t="shared" si="8"/>
        <v>4.84</v>
      </c>
      <c r="AI103" s="111">
        <f t="shared" si="8"/>
        <v>4.8499999999999996</v>
      </c>
      <c r="AJ103" s="111">
        <f t="shared" si="8"/>
        <v>4.8600000000000003</v>
      </c>
      <c r="AK103" s="111">
        <f t="shared" si="8"/>
        <v>4.87</v>
      </c>
    </row>
    <row r="104" spans="2:37" x14ac:dyDescent="0.2">
      <c r="B104" s="167" t="s">
        <v>229</v>
      </c>
      <c r="C104" s="166">
        <v>6.33</v>
      </c>
      <c r="D104" s="166">
        <f t="shared" ref="D104:AK104" si="9">ROUND(C104*(1+(0.5*C34)),2)</f>
        <v>6.43</v>
      </c>
      <c r="E104" s="166">
        <f t="shared" si="9"/>
        <v>6.56</v>
      </c>
      <c r="F104" s="111">
        <f t="shared" si="9"/>
        <v>6.7</v>
      </c>
      <c r="G104" s="111">
        <f t="shared" si="9"/>
        <v>6.83</v>
      </c>
      <c r="H104" s="111">
        <f t="shared" si="9"/>
        <v>6.95</v>
      </c>
      <c r="I104" s="111">
        <f t="shared" si="9"/>
        <v>7.07</v>
      </c>
      <c r="J104" s="111">
        <f t="shared" si="9"/>
        <v>7.19</v>
      </c>
      <c r="K104" s="111">
        <f t="shared" si="9"/>
        <v>7.31</v>
      </c>
      <c r="L104" s="111">
        <f t="shared" si="9"/>
        <v>7.42</v>
      </c>
      <c r="M104" s="111">
        <f t="shared" si="9"/>
        <v>7.53</v>
      </c>
      <c r="N104" s="111">
        <f t="shared" si="9"/>
        <v>7.64</v>
      </c>
      <c r="O104" s="111">
        <f t="shared" si="9"/>
        <v>7.74</v>
      </c>
      <c r="P104" s="111">
        <f t="shared" si="9"/>
        <v>7.84</v>
      </c>
      <c r="Q104" s="111">
        <f t="shared" si="9"/>
        <v>7.94</v>
      </c>
      <c r="R104" s="111">
        <f t="shared" si="9"/>
        <v>8.0299999999999994</v>
      </c>
      <c r="S104" s="111">
        <f t="shared" si="9"/>
        <v>8.11</v>
      </c>
      <c r="T104" s="111">
        <f t="shared" si="9"/>
        <v>8.18</v>
      </c>
      <c r="U104" s="111">
        <f t="shared" si="9"/>
        <v>8.24</v>
      </c>
      <c r="V104" s="111">
        <f t="shared" si="9"/>
        <v>8.2899999999999991</v>
      </c>
      <c r="W104" s="111">
        <f t="shared" si="9"/>
        <v>8.34</v>
      </c>
      <c r="X104" s="111">
        <f t="shared" si="9"/>
        <v>8.39</v>
      </c>
      <c r="Y104" s="111">
        <f t="shared" si="9"/>
        <v>8.43</v>
      </c>
      <c r="Z104" s="111">
        <f t="shared" si="9"/>
        <v>8.4600000000000009</v>
      </c>
      <c r="AA104" s="111">
        <f t="shared" si="9"/>
        <v>8.49</v>
      </c>
      <c r="AB104" s="111">
        <f t="shared" si="9"/>
        <v>8.52</v>
      </c>
      <c r="AC104" s="111">
        <f t="shared" si="9"/>
        <v>8.5500000000000007</v>
      </c>
      <c r="AD104" s="111">
        <f t="shared" si="9"/>
        <v>8.58</v>
      </c>
      <c r="AE104" s="111">
        <f t="shared" si="9"/>
        <v>8.61</v>
      </c>
      <c r="AF104" s="111">
        <f t="shared" si="9"/>
        <v>8.64</v>
      </c>
      <c r="AG104" s="111">
        <f t="shared" si="9"/>
        <v>8.67</v>
      </c>
      <c r="AH104" s="111">
        <f t="shared" si="9"/>
        <v>8.6999999999999993</v>
      </c>
      <c r="AI104" s="111">
        <f t="shared" si="9"/>
        <v>8.7200000000000006</v>
      </c>
      <c r="AJ104" s="111">
        <f t="shared" si="9"/>
        <v>8.74</v>
      </c>
      <c r="AK104" s="111">
        <f t="shared" si="9"/>
        <v>8.76</v>
      </c>
    </row>
    <row r="105" spans="2:37" x14ac:dyDescent="0.2">
      <c r="B105" s="167" t="s">
        <v>230</v>
      </c>
      <c r="C105" s="166">
        <v>4.55</v>
      </c>
      <c r="D105" s="166">
        <f t="shared" ref="D105:AK105" si="10">ROUND(C105*(1+(0.5*C34)),2)</f>
        <v>4.63</v>
      </c>
      <c r="E105" s="166">
        <f t="shared" si="10"/>
        <v>4.72</v>
      </c>
      <c r="F105" s="111">
        <f t="shared" si="10"/>
        <v>4.82</v>
      </c>
      <c r="G105" s="111">
        <f t="shared" si="10"/>
        <v>4.91</v>
      </c>
      <c r="H105" s="111">
        <f t="shared" si="10"/>
        <v>5</v>
      </c>
      <c r="I105" s="111">
        <f t="shared" si="10"/>
        <v>5.09</v>
      </c>
      <c r="J105" s="111">
        <f t="shared" si="10"/>
        <v>5.17</v>
      </c>
      <c r="K105" s="111">
        <f t="shared" si="10"/>
        <v>5.25</v>
      </c>
      <c r="L105" s="111">
        <f t="shared" si="10"/>
        <v>5.33</v>
      </c>
      <c r="M105" s="111">
        <f t="shared" si="10"/>
        <v>5.41</v>
      </c>
      <c r="N105" s="111">
        <f t="shared" si="10"/>
        <v>5.49</v>
      </c>
      <c r="O105" s="111">
        <f t="shared" si="10"/>
        <v>5.56</v>
      </c>
      <c r="P105" s="111">
        <f t="shared" si="10"/>
        <v>5.63</v>
      </c>
      <c r="Q105" s="111">
        <f t="shared" si="10"/>
        <v>5.7</v>
      </c>
      <c r="R105" s="111">
        <f t="shared" si="10"/>
        <v>5.77</v>
      </c>
      <c r="S105" s="111">
        <f t="shared" si="10"/>
        <v>5.83</v>
      </c>
      <c r="T105" s="111">
        <f t="shared" si="10"/>
        <v>5.88</v>
      </c>
      <c r="U105" s="111">
        <f t="shared" si="10"/>
        <v>5.92</v>
      </c>
      <c r="V105" s="111">
        <f t="shared" si="10"/>
        <v>5.96</v>
      </c>
      <c r="W105" s="111">
        <f t="shared" si="10"/>
        <v>6</v>
      </c>
      <c r="X105" s="111">
        <f t="shared" si="10"/>
        <v>6.03</v>
      </c>
      <c r="Y105" s="111">
        <f t="shared" si="10"/>
        <v>6.06</v>
      </c>
      <c r="Z105" s="111">
        <f t="shared" si="10"/>
        <v>6.08</v>
      </c>
      <c r="AA105" s="111">
        <f t="shared" si="10"/>
        <v>6.1</v>
      </c>
      <c r="AB105" s="111">
        <f t="shared" si="10"/>
        <v>6.12</v>
      </c>
      <c r="AC105" s="111">
        <f t="shared" si="10"/>
        <v>6.14</v>
      </c>
      <c r="AD105" s="111">
        <f t="shared" si="10"/>
        <v>6.16</v>
      </c>
      <c r="AE105" s="111">
        <f t="shared" si="10"/>
        <v>6.18</v>
      </c>
      <c r="AF105" s="111">
        <f t="shared" si="10"/>
        <v>6.2</v>
      </c>
      <c r="AG105" s="111">
        <f t="shared" si="10"/>
        <v>6.22</v>
      </c>
      <c r="AH105" s="111">
        <f t="shared" si="10"/>
        <v>6.24</v>
      </c>
      <c r="AI105" s="111">
        <f t="shared" si="10"/>
        <v>6.26</v>
      </c>
      <c r="AJ105" s="111">
        <f t="shared" si="10"/>
        <v>6.28</v>
      </c>
      <c r="AK105" s="111">
        <f t="shared" si="10"/>
        <v>6.3</v>
      </c>
    </row>
    <row r="106" spans="2:37" x14ac:dyDescent="0.2">
      <c r="B106" s="1" t="s">
        <v>215</v>
      </c>
    </row>
    <row r="108" spans="2:37" x14ac:dyDescent="0.2">
      <c r="B108" s="22" t="s">
        <v>224</v>
      </c>
    </row>
    <row r="109" spans="2:37" x14ac:dyDescent="0.2">
      <c r="B109" s="115"/>
      <c r="C109" s="195" t="s">
        <v>216</v>
      </c>
      <c r="D109" s="195"/>
      <c r="E109" s="195"/>
      <c r="F109" s="195"/>
      <c r="G109" s="195"/>
      <c r="H109" s="195"/>
      <c r="I109" s="195"/>
      <c r="J109" s="195"/>
      <c r="K109" s="195"/>
      <c r="L109" s="195"/>
      <c r="M109" s="195"/>
      <c r="N109" s="195"/>
    </row>
    <row r="110" spans="2:37" x14ac:dyDescent="0.2">
      <c r="B110" s="119" t="s">
        <v>217</v>
      </c>
      <c r="C110" s="120">
        <v>20</v>
      </c>
      <c r="D110" s="120">
        <v>30</v>
      </c>
      <c r="E110" s="120">
        <v>40</v>
      </c>
      <c r="F110" s="120">
        <v>50</v>
      </c>
      <c r="G110" s="120">
        <v>60</v>
      </c>
      <c r="H110" s="120">
        <v>70</v>
      </c>
      <c r="I110" s="120">
        <v>80</v>
      </c>
      <c r="J110" s="120">
        <v>90</v>
      </c>
      <c r="K110" s="120">
        <v>100</v>
      </c>
      <c r="L110" s="120">
        <v>110</v>
      </c>
      <c r="M110" s="120">
        <v>120</v>
      </c>
      <c r="N110" s="120">
        <v>130</v>
      </c>
    </row>
    <row r="111" spans="2:37" x14ac:dyDescent="0.2">
      <c r="B111" s="197" t="s">
        <v>218</v>
      </c>
      <c r="C111" s="197"/>
      <c r="D111" s="197"/>
      <c r="E111" s="197"/>
      <c r="F111" s="197"/>
      <c r="G111" s="197"/>
      <c r="H111" s="197"/>
      <c r="I111" s="197"/>
      <c r="J111" s="197"/>
      <c r="K111" s="197"/>
      <c r="L111" s="197"/>
      <c r="M111" s="197"/>
      <c r="N111" s="197"/>
    </row>
    <row r="112" spans="2:37" x14ac:dyDescent="0.2">
      <c r="B112" s="112" t="s">
        <v>219</v>
      </c>
      <c r="C112" s="113"/>
      <c r="D112" s="113"/>
      <c r="E112" s="113"/>
      <c r="F112" s="114">
        <v>0.09</v>
      </c>
      <c r="G112" s="114">
        <v>0.09</v>
      </c>
      <c r="H112" s="114">
        <v>8.8999999999999996E-2</v>
      </c>
      <c r="I112" s="114">
        <v>8.7999999999999995E-2</v>
      </c>
      <c r="J112" s="114">
        <v>8.5999999999999993E-2</v>
      </c>
      <c r="K112" s="114">
        <v>8.7999999999999995E-2</v>
      </c>
      <c r="L112" s="114">
        <v>9.0999999999999998E-2</v>
      </c>
      <c r="M112" s="114">
        <v>9.7000000000000003E-2</v>
      </c>
      <c r="N112" s="114">
        <v>0.10100000000000001</v>
      </c>
    </row>
    <row r="113" spans="2:14" x14ac:dyDescent="0.2">
      <c r="B113" s="112" t="s">
        <v>220</v>
      </c>
      <c r="C113" s="113"/>
      <c r="D113" s="113"/>
      <c r="E113" s="114">
        <v>0.122</v>
      </c>
      <c r="F113" s="114">
        <v>0.11799999999999999</v>
      </c>
      <c r="G113" s="114">
        <v>0.121</v>
      </c>
      <c r="H113" s="114">
        <v>0.125</v>
      </c>
      <c r="I113" s="114">
        <v>0.13300000000000001</v>
      </c>
      <c r="J113" s="114">
        <v>0.13900000000000001</v>
      </c>
      <c r="K113" s="114">
        <v>0.154</v>
      </c>
      <c r="L113" s="114">
        <v>0.16</v>
      </c>
      <c r="M113" s="113"/>
      <c r="N113" s="113"/>
    </row>
    <row r="114" spans="2:14" x14ac:dyDescent="0.2">
      <c r="B114" s="112" t="s">
        <v>221</v>
      </c>
      <c r="C114" s="113"/>
      <c r="D114" s="113"/>
      <c r="E114" s="113">
        <v>0.32300000000000001</v>
      </c>
      <c r="F114" s="113">
        <v>0.32600000000000001</v>
      </c>
      <c r="G114" s="113">
        <v>0.33100000000000002</v>
      </c>
      <c r="H114" s="113">
        <v>0.34100000000000003</v>
      </c>
      <c r="I114" s="113">
        <v>0.35899999999999999</v>
      </c>
      <c r="J114" s="113">
        <v>0.38500000000000001</v>
      </c>
      <c r="K114" s="113"/>
      <c r="L114" s="113"/>
      <c r="M114" s="113"/>
      <c r="N114" s="113"/>
    </row>
    <row r="115" spans="2:14" x14ac:dyDescent="0.2">
      <c r="B115" s="112" t="s">
        <v>222</v>
      </c>
      <c r="C115" s="113"/>
      <c r="D115" s="113"/>
      <c r="E115" s="113">
        <v>0.46899999999999997</v>
      </c>
      <c r="F115" s="113">
        <v>0.46700000000000003</v>
      </c>
      <c r="G115" s="113">
        <v>0.47</v>
      </c>
      <c r="H115" s="113">
        <v>0.47899999999999998</v>
      </c>
      <c r="I115" s="113">
        <v>0.498</v>
      </c>
      <c r="J115" s="113">
        <v>0.52600000000000002</v>
      </c>
      <c r="K115" s="113"/>
      <c r="L115" s="113"/>
      <c r="M115" s="113"/>
      <c r="N115" s="113"/>
    </row>
    <row r="116" spans="2:14" x14ac:dyDescent="0.2">
      <c r="B116" s="112" t="s">
        <v>223</v>
      </c>
      <c r="C116" s="113"/>
      <c r="D116" s="113"/>
      <c r="E116" s="113">
        <v>0.28399999999999997</v>
      </c>
      <c r="F116" s="113">
        <v>0.28599999999999998</v>
      </c>
      <c r="G116" s="113">
        <v>0.28599999999999998</v>
      </c>
      <c r="H116" s="113">
        <v>0.29299999999999998</v>
      </c>
      <c r="I116" s="113">
        <v>0.307</v>
      </c>
      <c r="J116" s="113">
        <v>0.32300000000000001</v>
      </c>
      <c r="K116" s="113">
        <v>0.35</v>
      </c>
      <c r="L116" s="113"/>
      <c r="M116" s="113"/>
      <c r="N116" s="113"/>
    </row>
    <row r="117" spans="2:14" x14ac:dyDescent="0.2">
      <c r="B117" s="197" t="s">
        <v>299</v>
      </c>
      <c r="C117" s="197"/>
      <c r="D117" s="197"/>
      <c r="E117" s="197"/>
      <c r="F117" s="197"/>
      <c r="G117" s="197"/>
      <c r="H117" s="197"/>
      <c r="I117" s="197"/>
      <c r="J117" s="197"/>
      <c r="K117" s="197"/>
      <c r="L117" s="197"/>
      <c r="M117" s="197"/>
      <c r="N117" s="197"/>
    </row>
    <row r="118" spans="2:14" x14ac:dyDescent="0.2">
      <c r="B118" s="112" t="s">
        <v>219</v>
      </c>
      <c r="C118" s="113">
        <v>0.158</v>
      </c>
      <c r="D118" s="113">
        <v>0.11899999999999999</v>
      </c>
      <c r="E118" s="113">
        <v>8.5999999999999993E-2</v>
      </c>
      <c r="F118" s="113">
        <v>7.0999999999999994E-2</v>
      </c>
      <c r="G118" s="113"/>
      <c r="H118" s="113"/>
      <c r="I118" s="113"/>
      <c r="J118" s="113"/>
      <c r="K118" s="113"/>
      <c r="L118" s="113"/>
      <c r="M118" s="113"/>
      <c r="N118" s="113"/>
    </row>
    <row r="119" spans="2:14" x14ac:dyDescent="0.2">
      <c r="B119" s="112" t="s">
        <v>220</v>
      </c>
      <c r="C119" s="113">
        <v>0.20100000000000001</v>
      </c>
      <c r="D119" s="113">
        <v>0.151</v>
      </c>
      <c r="E119" s="113">
        <v>0.114</v>
      </c>
      <c r="F119" s="113">
        <v>0.104</v>
      </c>
      <c r="G119" s="113"/>
      <c r="H119" s="113"/>
      <c r="I119" s="113"/>
      <c r="J119" s="113"/>
      <c r="K119" s="113"/>
      <c r="L119" s="113"/>
      <c r="M119" s="113"/>
      <c r="N119" s="113"/>
    </row>
    <row r="120" spans="2:14" x14ac:dyDescent="0.2">
      <c r="B120" s="112" t="s">
        <v>221</v>
      </c>
      <c r="C120" s="114">
        <v>0.51</v>
      </c>
      <c r="D120" s="114">
        <v>0.39600000000000002</v>
      </c>
      <c r="E120" s="114">
        <v>0.314</v>
      </c>
      <c r="F120" s="114">
        <v>0.29499999999999998</v>
      </c>
      <c r="G120" s="114"/>
      <c r="H120" s="114"/>
      <c r="I120" s="114"/>
      <c r="J120" s="114"/>
      <c r="K120" s="114"/>
      <c r="L120" s="114"/>
      <c r="M120" s="114"/>
      <c r="N120" s="114"/>
    </row>
    <row r="121" spans="2:14" x14ac:dyDescent="0.2">
      <c r="B121" s="112" t="s">
        <v>222</v>
      </c>
      <c r="C121" s="114">
        <v>0.76200000000000001</v>
      </c>
      <c r="D121" s="114">
        <v>0.58699999999999997</v>
      </c>
      <c r="E121" s="114">
        <v>0.46200000000000002</v>
      </c>
      <c r="F121" s="114">
        <v>0.43099999999999999</v>
      </c>
      <c r="G121" s="114"/>
      <c r="H121" s="114"/>
      <c r="I121" s="114"/>
      <c r="J121" s="114"/>
      <c r="K121" s="114"/>
      <c r="L121" s="114"/>
      <c r="M121" s="114"/>
      <c r="N121" s="114"/>
    </row>
    <row r="122" spans="2:14" x14ac:dyDescent="0.2">
      <c r="B122" s="112" t="s">
        <v>223</v>
      </c>
      <c r="C122" s="114">
        <v>0.45200000000000001</v>
      </c>
      <c r="D122" s="114">
        <v>0.35</v>
      </c>
      <c r="E122" s="114">
        <v>0.27800000000000002</v>
      </c>
      <c r="F122" s="114">
        <v>0.26300000000000001</v>
      </c>
      <c r="G122" s="114"/>
      <c r="H122" s="114"/>
      <c r="I122" s="114"/>
      <c r="J122" s="114"/>
      <c r="K122" s="114"/>
      <c r="L122" s="114"/>
      <c r="M122" s="114"/>
      <c r="N122" s="114"/>
    </row>
    <row r="123" spans="2:14" x14ac:dyDescent="0.2">
      <c r="B123" s="197" t="s">
        <v>300</v>
      </c>
      <c r="C123" s="197"/>
      <c r="D123" s="197"/>
      <c r="E123" s="197"/>
      <c r="F123" s="197"/>
      <c r="G123" s="197"/>
      <c r="H123" s="197"/>
      <c r="I123" s="197"/>
      <c r="J123" s="197"/>
      <c r="K123" s="197"/>
      <c r="L123" s="197"/>
      <c r="M123" s="197"/>
      <c r="N123" s="197"/>
    </row>
    <row r="124" spans="2:14" x14ac:dyDescent="0.2">
      <c r="B124" s="112" t="s">
        <v>219</v>
      </c>
      <c r="C124" s="112"/>
      <c r="D124" s="114">
        <v>0.109</v>
      </c>
      <c r="E124" s="114">
        <v>0.104</v>
      </c>
      <c r="F124" s="114">
        <v>9.7000000000000003E-2</v>
      </c>
      <c r="G124" s="114">
        <v>8.6999999999999994E-2</v>
      </c>
      <c r="H124" s="114">
        <v>7.5999999999999998E-2</v>
      </c>
      <c r="I124" s="114">
        <v>7.2999999999999995E-2</v>
      </c>
      <c r="J124" s="114">
        <v>7.4999999999999997E-2</v>
      </c>
      <c r="K124" s="114"/>
      <c r="L124" s="114"/>
      <c r="M124" s="114"/>
      <c r="N124" s="114"/>
    </row>
    <row r="125" spans="2:14" x14ac:dyDescent="0.2">
      <c r="B125" s="112" t="s">
        <v>220</v>
      </c>
      <c r="C125" s="112"/>
      <c r="D125" s="114">
        <v>0.14000000000000001</v>
      </c>
      <c r="E125" s="114">
        <v>0.13500000000000001</v>
      </c>
      <c r="F125" s="114">
        <v>0.13</v>
      </c>
      <c r="G125" s="114">
        <v>0.121</v>
      </c>
      <c r="H125" s="114">
        <v>0.11799999999999999</v>
      </c>
      <c r="I125" s="114">
        <v>0.122</v>
      </c>
      <c r="J125" s="114">
        <v>0.124</v>
      </c>
      <c r="K125" s="114"/>
      <c r="L125" s="114"/>
      <c r="M125" s="114"/>
      <c r="N125" s="114"/>
    </row>
    <row r="126" spans="2:14" x14ac:dyDescent="0.2">
      <c r="B126" s="112" t="s">
        <v>221</v>
      </c>
      <c r="C126" s="112"/>
      <c r="D126" s="114">
        <v>0.376</v>
      </c>
      <c r="E126" s="114">
        <v>0.36299999999999999</v>
      </c>
      <c r="F126" s="114">
        <v>0.35499999999999998</v>
      </c>
      <c r="G126" s="114">
        <v>0.34100000000000003</v>
      </c>
      <c r="H126" s="114">
        <v>0.33800000000000002</v>
      </c>
      <c r="I126" s="114">
        <v>0.35799999999999998</v>
      </c>
      <c r="J126" s="114">
        <v>0.36499999999999999</v>
      </c>
      <c r="K126" s="114"/>
      <c r="L126" s="114"/>
      <c r="M126" s="114"/>
      <c r="N126" s="114"/>
    </row>
    <row r="127" spans="2:14" x14ac:dyDescent="0.2">
      <c r="B127" s="112" t="s">
        <v>222</v>
      </c>
      <c r="C127" s="112"/>
      <c r="D127" s="114">
        <v>0.55500000000000005</v>
      </c>
      <c r="E127" s="114">
        <v>0.53300000000000003</v>
      </c>
      <c r="F127" s="114">
        <v>0.502</v>
      </c>
      <c r="G127" s="114">
        <v>0.48099999999999998</v>
      </c>
      <c r="H127" s="114">
        <v>0.46899999999999997</v>
      </c>
      <c r="I127" s="114">
        <v>0.48599999999999999</v>
      </c>
      <c r="J127" s="114"/>
      <c r="K127" s="114"/>
      <c r="L127" s="114"/>
      <c r="M127" s="114"/>
      <c r="N127" s="114"/>
    </row>
    <row r="128" spans="2:14" x14ac:dyDescent="0.2">
      <c r="B128" s="112" t="s">
        <v>223</v>
      </c>
      <c r="C128" s="112"/>
      <c r="D128" s="114">
        <v>0.33200000000000002</v>
      </c>
      <c r="E128" s="114">
        <v>0.318</v>
      </c>
      <c r="F128" s="114">
        <v>0.31</v>
      </c>
      <c r="G128" s="114">
        <v>0.29599999999999999</v>
      </c>
      <c r="H128" s="114">
        <v>0.28699999999999998</v>
      </c>
      <c r="I128" s="114">
        <v>0.30299999999999999</v>
      </c>
      <c r="J128" s="114">
        <v>0.314</v>
      </c>
      <c r="K128" s="114"/>
      <c r="L128" s="114"/>
      <c r="M128" s="114"/>
      <c r="N128" s="114"/>
    </row>
    <row r="129" spans="2:3" x14ac:dyDescent="0.2">
      <c r="B129" s="1" t="s">
        <v>235</v>
      </c>
    </row>
    <row r="131" spans="2:3" x14ac:dyDescent="0.2">
      <c r="B131" s="192" t="s">
        <v>304</v>
      </c>
      <c r="C131" s="193"/>
    </row>
    <row r="132" spans="2:3" x14ac:dyDescent="0.2">
      <c r="B132" s="116" t="s">
        <v>219</v>
      </c>
      <c r="C132" s="117">
        <v>0.14249999999999999</v>
      </c>
    </row>
    <row r="133" spans="2:3" x14ac:dyDescent="0.2">
      <c r="B133" s="116" t="s">
        <v>220</v>
      </c>
      <c r="C133" s="117">
        <v>0.3014</v>
      </c>
    </row>
    <row r="134" spans="2:3" x14ac:dyDescent="0.2">
      <c r="B134" s="116" t="s">
        <v>301</v>
      </c>
      <c r="C134" s="117">
        <v>0.80879999999999996</v>
      </c>
    </row>
    <row r="135" spans="2:3" x14ac:dyDescent="0.2">
      <c r="B135" s="116" t="s">
        <v>222</v>
      </c>
      <c r="C135" s="117">
        <v>1.0179</v>
      </c>
    </row>
    <row r="136" spans="2:3" x14ac:dyDescent="0.2">
      <c r="B136" s="116" t="s">
        <v>223</v>
      </c>
      <c r="C136" s="117">
        <v>0.46300000000000002</v>
      </c>
    </row>
    <row r="137" spans="2:3" x14ac:dyDescent="0.2">
      <c r="B137" s="1" t="s">
        <v>236</v>
      </c>
    </row>
    <row r="139" spans="2:3" x14ac:dyDescent="0.2">
      <c r="B139" s="193" t="s">
        <v>237</v>
      </c>
      <c r="C139" s="193"/>
    </row>
    <row r="140" spans="2:3" x14ac:dyDescent="0.2">
      <c r="B140" s="116" t="s">
        <v>238</v>
      </c>
      <c r="C140" s="117">
        <v>1.02</v>
      </c>
    </row>
    <row r="141" spans="2:3" x14ac:dyDescent="0.2">
      <c r="B141" s="116" t="s">
        <v>239</v>
      </c>
      <c r="C141" s="117">
        <v>1.5</v>
      </c>
    </row>
    <row r="142" spans="2:3" x14ac:dyDescent="0.2">
      <c r="B142" s="116" t="s">
        <v>240</v>
      </c>
      <c r="C142" s="117">
        <v>3</v>
      </c>
    </row>
    <row r="143" spans="2:3" x14ac:dyDescent="0.2">
      <c r="B143" s="116" t="s">
        <v>241</v>
      </c>
      <c r="C143" s="117">
        <v>6</v>
      </c>
    </row>
    <row r="144" spans="2:3" x14ac:dyDescent="0.2">
      <c r="B144" s="1" t="s">
        <v>242</v>
      </c>
    </row>
    <row r="146" spans="2:6" x14ac:dyDescent="0.2">
      <c r="B146" s="192" t="s">
        <v>308</v>
      </c>
      <c r="C146" s="192"/>
      <c r="D146" s="192"/>
      <c r="E146" s="192"/>
      <c r="F146" s="192"/>
    </row>
    <row r="147" spans="2:6" ht="22.5" x14ac:dyDescent="0.2">
      <c r="B147" s="105" t="s">
        <v>243</v>
      </c>
      <c r="C147" s="105" t="s">
        <v>238</v>
      </c>
      <c r="D147" s="105" t="s">
        <v>239</v>
      </c>
      <c r="E147" s="105" t="s">
        <v>244</v>
      </c>
      <c r="F147" s="105" t="s">
        <v>245</v>
      </c>
    </row>
    <row r="148" spans="2:6" ht="22.5" customHeight="1" x14ac:dyDescent="0.2">
      <c r="B148" s="149" t="s">
        <v>246</v>
      </c>
      <c r="C148" s="121">
        <v>0.40699999999999997</v>
      </c>
      <c r="D148" s="121">
        <v>1.131</v>
      </c>
      <c r="E148" s="121">
        <v>3.6040000000000001</v>
      </c>
      <c r="F148" s="121">
        <v>32.765000000000001</v>
      </c>
    </row>
    <row r="149" spans="2:6" ht="22.5" x14ac:dyDescent="0.2">
      <c r="B149" s="124" t="s">
        <v>270</v>
      </c>
      <c r="C149" s="122">
        <v>0.28699999999999998</v>
      </c>
      <c r="D149" s="122">
        <v>3.5259999999999998</v>
      </c>
      <c r="E149" s="122">
        <v>11.231999999999999</v>
      </c>
      <c r="F149" s="122">
        <v>20.902999999999999</v>
      </c>
    </row>
    <row r="150" spans="2:6" ht="22.5" customHeight="1" x14ac:dyDescent="0.2">
      <c r="B150" s="123" t="s">
        <v>247</v>
      </c>
      <c r="C150" s="121">
        <v>0.40699999999999997</v>
      </c>
      <c r="D150" s="121">
        <v>1.131</v>
      </c>
      <c r="E150" s="121">
        <v>3.6040000000000001</v>
      </c>
      <c r="F150" s="121">
        <v>32.765000000000001</v>
      </c>
    </row>
    <row r="151" spans="2:6" ht="22.5" x14ac:dyDescent="0.2">
      <c r="B151" s="124" t="s">
        <v>271</v>
      </c>
      <c r="C151" s="122">
        <v>0.28699999999999998</v>
      </c>
      <c r="D151" s="122">
        <v>3.5259999999999998</v>
      </c>
      <c r="E151" s="122">
        <v>11.231999999999999</v>
      </c>
      <c r="F151" s="122">
        <v>20.902999999999999</v>
      </c>
    </row>
    <row r="152" spans="2:6" ht="22.5" customHeight="1" x14ac:dyDescent="0.2">
      <c r="B152" s="123" t="s">
        <v>248</v>
      </c>
      <c r="C152" s="121">
        <v>1.266</v>
      </c>
      <c r="D152" s="121">
        <v>1.9139999999999999</v>
      </c>
      <c r="E152" s="121">
        <v>6.0990000000000002</v>
      </c>
      <c r="F152" s="121">
        <v>19.245999999999999</v>
      </c>
    </row>
    <row r="153" spans="2:6" ht="22.5" customHeight="1" x14ac:dyDescent="0.2">
      <c r="B153" s="124" t="s">
        <v>272</v>
      </c>
      <c r="C153" s="122">
        <v>0.28699999999999998</v>
      </c>
      <c r="D153" s="122">
        <v>3.5259999999999998</v>
      </c>
      <c r="E153" s="122">
        <v>11.231999999999999</v>
      </c>
      <c r="F153" s="122">
        <v>20.904</v>
      </c>
    </row>
    <row r="154" spans="2:6" ht="22.5" customHeight="1" x14ac:dyDescent="0.2">
      <c r="B154" s="124" t="s">
        <v>273</v>
      </c>
      <c r="C154" s="122">
        <v>0.61199999999999999</v>
      </c>
      <c r="D154" s="122">
        <v>8.2219999999999995</v>
      </c>
      <c r="E154" s="122">
        <v>26.193999999999999</v>
      </c>
      <c r="F154" s="122">
        <v>41.78</v>
      </c>
    </row>
    <row r="155" spans="2:6" ht="22.5" customHeight="1" x14ac:dyDescent="0.2">
      <c r="B155" s="124" t="s">
        <v>274</v>
      </c>
      <c r="C155" s="122">
        <v>1.3859999999999999</v>
      </c>
      <c r="D155" s="122">
        <v>4.3449999999999998</v>
      </c>
      <c r="E155" s="122">
        <v>13.842000000000001</v>
      </c>
      <c r="F155" s="122">
        <v>24.722999999999999</v>
      </c>
    </row>
    <row r="156" spans="2:6" ht="22.5" x14ac:dyDescent="0.2">
      <c r="B156" s="124" t="s">
        <v>275</v>
      </c>
      <c r="C156" s="122">
        <v>1.671</v>
      </c>
      <c r="D156" s="122">
        <v>5.8810000000000002</v>
      </c>
      <c r="E156" s="122">
        <v>18.736999999999998</v>
      </c>
      <c r="F156" s="122">
        <v>33.359000000000002</v>
      </c>
    </row>
    <row r="157" spans="2:6" ht="22.5" x14ac:dyDescent="0.2">
      <c r="B157" s="124" t="s">
        <v>276</v>
      </c>
      <c r="C157" s="122">
        <v>0.52900000000000003</v>
      </c>
      <c r="D157" s="122">
        <v>1.8959999999999999</v>
      </c>
      <c r="E157" s="122">
        <v>6.0410000000000004</v>
      </c>
      <c r="F157" s="122">
        <v>12.83</v>
      </c>
    </row>
    <row r="158" spans="2:6" ht="22.5" customHeight="1" x14ac:dyDescent="0.2">
      <c r="B158" s="124" t="s">
        <v>277</v>
      </c>
      <c r="C158" s="122">
        <v>1.202</v>
      </c>
      <c r="D158" s="122">
        <v>6.117</v>
      </c>
      <c r="E158" s="122">
        <v>19.488</v>
      </c>
      <c r="F158" s="122">
        <v>33.075000000000003</v>
      </c>
    </row>
    <row r="159" spans="2:6" ht="22.5" customHeight="1" x14ac:dyDescent="0.2">
      <c r="B159" s="124" t="s">
        <v>278</v>
      </c>
      <c r="C159" s="122">
        <v>1.083</v>
      </c>
      <c r="D159" s="122">
        <v>2.0219999999999998</v>
      </c>
      <c r="E159" s="122">
        <v>6.4409999999999998</v>
      </c>
      <c r="F159" s="122">
        <v>35.710999999999999</v>
      </c>
    </row>
    <row r="160" spans="2:6" x14ac:dyDescent="0.2">
      <c r="B160" s="1" t="s">
        <v>249</v>
      </c>
    </row>
    <row r="162" spans="2:37" x14ac:dyDescent="0.2">
      <c r="B162" s="22" t="s">
        <v>259</v>
      </c>
    </row>
    <row r="163" spans="2:37" ht="45" x14ac:dyDescent="0.2">
      <c r="B163" s="105" t="s">
        <v>250</v>
      </c>
      <c r="C163" s="105" t="s">
        <v>251</v>
      </c>
      <c r="D163" s="105" t="s">
        <v>252</v>
      </c>
      <c r="E163" s="105" t="s">
        <v>253</v>
      </c>
      <c r="F163" s="105" t="s">
        <v>254</v>
      </c>
    </row>
    <row r="164" spans="2:37" x14ac:dyDescent="0.2">
      <c r="B164" s="123" t="s">
        <v>255</v>
      </c>
      <c r="C164" s="125">
        <v>949</v>
      </c>
      <c r="D164" s="123" t="s">
        <v>256</v>
      </c>
      <c r="E164" s="125">
        <v>1052</v>
      </c>
      <c r="F164" s="121">
        <v>1.1085</v>
      </c>
    </row>
    <row r="165" spans="2:37" x14ac:dyDescent="0.2">
      <c r="B165" s="123" t="s">
        <v>257</v>
      </c>
      <c r="C165" s="125">
        <v>3939</v>
      </c>
      <c r="D165" s="123" t="s">
        <v>153</v>
      </c>
      <c r="E165" s="125">
        <v>4427</v>
      </c>
      <c r="F165" s="121">
        <v>1.1238999999999999</v>
      </c>
    </row>
    <row r="166" spans="2:37" x14ac:dyDescent="0.2">
      <c r="B166" s="123" t="s">
        <v>258</v>
      </c>
      <c r="C166" s="125">
        <v>16488</v>
      </c>
      <c r="D166" s="123" t="s">
        <v>154</v>
      </c>
      <c r="E166" s="125">
        <v>21688</v>
      </c>
      <c r="F166" s="121">
        <v>1.3153999999999999</v>
      </c>
    </row>
    <row r="167" spans="2:37" x14ac:dyDescent="0.2">
      <c r="B167" s="1" t="s">
        <v>260</v>
      </c>
    </row>
    <row r="169" spans="2:37" x14ac:dyDescent="0.2">
      <c r="B169" s="105" t="s">
        <v>261</v>
      </c>
      <c r="C169" s="103">
        <v>2016</v>
      </c>
      <c r="D169" s="103">
        <v>2017</v>
      </c>
      <c r="E169" s="103">
        <v>2018</v>
      </c>
      <c r="F169" s="103">
        <v>2019</v>
      </c>
      <c r="G169" s="103">
        <v>2020</v>
      </c>
      <c r="H169" s="103">
        <v>2021</v>
      </c>
      <c r="I169" s="103">
        <v>2022</v>
      </c>
      <c r="J169" s="103">
        <v>2023</v>
      </c>
      <c r="K169" s="103">
        <v>2024</v>
      </c>
      <c r="L169" s="103">
        <v>2025</v>
      </c>
      <c r="M169" s="103">
        <v>2026</v>
      </c>
      <c r="N169" s="103">
        <v>2027</v>
      </c>
      <c r="O169" s="103">
        <v>2028</v>
      </c>
      <c r="P169" s="103">
        <v>2029</v>
      </c>
      <c r="Q169" s="103">
        <v>2030</v>
      </c>
      <c r="R169" s="103">
        <v>2031</v>
      </c>
      <c r="S169" s="103">
        <v>2032</v>
      </c>
      <c r="T169" s="103">
        <v>2033</v>
      </c>
      <c r="U169" s="103">
        <v>2034</v>
      </c>
      <c r="V169" s="103">
        <v>2035</v>
      </c>
      <c r="W169" s="103">
        <v>2036</v>
      </c>
      <c r="X169" s="103">
        <v>2037</v>
      </c>
      <c r="Y169" s="103">
        <v>2038</v>
      </c>
      <c r="Z169" s="103">
        <v>2039</v>
      </c>
      <c r="AA169" s="103">
        <v>2040</v>
      </c>
      <c r="AB169" s="103">
        <v>2041</v>
      </c>
      <c r="AC169" s="103">
        <v>2042</v>
      </c>
      <c r="AD169" s="103">
        <v>2043</v>
      </c>
      <c r="AE169" s="103">
        <v>2044</v>
      </c>
      <c r="AF169" s="103">
        <v>2045</v>
      </c>
      <c r="AG169" s="103">
        <v>2046</v>
      </c>
      <c r="AH169" s="103">
        <v>2047</v>
      </c>
      <c r="AI169" s="103">
        <v>2048</v>
      </c>
      <c r="AJ169" s="103">
        <v>2049</v>
      </c>
      <c r="AK169" s="103">
        <v>2050</v>
      </c>
    </row>
    <row r="170" spans="2:37" x14ac:dyDescent="0.2">
      <c r="B170" s="168" t="s">
        <v>152</v>
      </c>
      <c r="C170" s="126">
        <f>ROUND(1593000*C29,0)</f>
        <v>1723626</v>
      </c>
      <c r="D170" s="126">
        <f t="shared" ref="D170:AK170" si="11">ROUND(C170*(1+(0.7*C34)),0)</f>
        <v>1763442</v>
      </c>
      <c r="E170" s="126">
        <f t="shared" si="11"/>
        <v>1812818</v>
      </c>
      <c r="F170" s="126">
        <f t="shared" si="11"/>
        <v>1868653</v>
      </c>
      <c r="G170" s="126">
        <f t="shared" si="11"/>
        <v>1918359</v>
      </c>
      <c r="H170" s="126">
        <f t="shared" si="11"/>
        <v>1966702</v>
      </c>
      <c r="I170" s="126">
        <f t="shared" si="11"/>
        <v>2014886</v>
      </c>
      <c r="J170" s="126">
        <f t="shared" si="11"/>
        <v>2061430</v>
      </c>
      <c r="K170" s="126">
        <f t="shared" si="11"/>
        <v>2107606</v>
      </c>
      <c r="L170" s="126">
        <f t="shared" si="11"/>
        <v>2151866</v>
      </c>
      <c r="M170" s="126">
        <f t="shared" si="11"/>
        <v>2195549</v>
      </c>
      <c r="N170" s="126">
        <f t="shared" si="11"/>
        <v>2238582</v>
      </c>
      <c r="O170" s="126">
        <f t="shared" si="11"/>
        <v>2280891</v>
      </c>
      <c r="P170" s="126">
        <f t="shared" si="11"/>
        <v>2322403</v>
      </c>
      <c r="Q170" s="126">
        <f t="shared" si="11"/>
        <v>2363045</v>
      </c>
      <c r="R170" s="126">
        <f t="shared" si="11"/>
        <v>2401090</v>
      </c>
      <c r="S170" s="126">
        <f t="shared" si="11"/>
        <v>2434705</v>
      </c>
      <c r="T170" s="126">
        <f t="shared" si="11"/>
        <v>2465382</v>
      </c>
      <c r="U170" s="126">
        <f t="shared" si="11"/>
        <v>2491269</v>
      </c>
      <c r="V170" s="126">
        <f t="shared" si="11"/>
        <v>2513940</v>
      </c>
      <c r="W170" s="126">
        <f t="shared" si="11"/>
        <v>2535057</v>
      </c>
      <c r="X170" s="126">
        <f t="shared" si="11"/>
        <v>2554577</v>
      </c>
      <c r="Y170" s="126">
        <f t="shared" si="11"/>
        <v>2570671</v>
      </c>
      <c r="Z170" s="126">
        <f t="shared" si="11"/>
        <v>2585067</v>
      </c>
      <c r="AA170" s="126">
        <f t="shared" si="11"/>
        <v>2597734</v>
      </c>
      <c r="AB170" s="126">
        <f t="shared" si="11"/>
        <v>2610463</v>
      </c>
      <c r="AC170" s="126">
        <f t="shared" si="11"/>
        <v>2623254</v>
      </c>
      <c r="AD170" s="126">
        <f t="shared" si="11"/>
        <v>2634272</v>
      </c>
      <c r="AE170" s="126">
        <f t="shared" si="11"/>
        <v>2645336</v>
      </c>
      <c r="AF170" s="126">
        <f t="shared" si="11"/>
        <v>2656446</v>
      </c>
      <c r="AG170" s="126">
        <f t="shared" si="11"/>
        <v>2667603</v>
      </c>
      <c r="AH170" s="126">
        <f t="shared" si="11"/>
        <v>2678807</v>
      </c>
      <c r="AI170" s="126">
        <f t="shared" si="11"/>
        <v>2688183</v>
      </c>
      <c r="AJ170" s="126">
        <f t="shared" si="11"/>
        <v>2697592</v>
      </c>
      <c r="AK170" s="126">
        <f t="shared" si="11"/>
        <v>2707034</v>
      </c>
    </row>
    <row r="171" spans="2:37" x14ac:dyDescent="0.2">
      <c r="B171" s="168" t="s">
        <v>153</v>
      </c>
      <c r="C171" s="126">
        <f>ROUND(219700*C29,0)</f>
        <v>237715</v>
      </c>
      <c r="D171" s="126">
        <f t="shared" ref="D171:AK171" si="12">ROUND(C171*(1+(0.7*C34)),0)</f>
        <v>243206</v>
      </c>
      <c r="E171" s="126">
        <f t="shared" si="12"/>
        <v>250016</v>
      </c>
      <c r="F171" s="126">
        <f t="shared" si="12"/>
        <v>257716</v>
      </c>
      <c r="G171" s="126">
        <f t="shared" si="12"/>
        <v>264571</v>
      </c>
      <c r="H171" s="126">
        <f t="shared" si="12"/>
        <v>271238</v>
      </c>
      <c r="I171" s="126">
        <f t="shared" si="12"/>
        <v>277883</v>
      </c>
      <c r="J171" s="126">
        <f t="shared" si="12"/>
        <v>284302</v>
      </c>
      <c r="K171" s="126">
        <f t="shared" si="12"/>
        <v>290670</v>
      </c>
      <c r="L171" s="126">
        <f t="shared" si="12"/>
        <v>296774</v>
      </c>
      <c r="M171" s="126">
        <f t="shared" si="12"/>
        <v>302799</v>
      </c>
      <c r="N171" s="126">
        <f t="shared" si="12"/>
        <v>308734</v>
      </c>
      <c r="O171" s="126">
        <f t="shared" si="12"/>
        <v>314569</v>
      </c>
      <c r="P171" s="126">
        <f t="shared" si="12"/>
        <v>320294</v>
      </c>
      <c r="Q171" s="126">
        <f t="shared" si="12"/>
        <v>325899</v>
      </c>
      <c r="R171" s="126">
        <f t="shared" si="12"/>
        <v>331146</v>
      </c>
      <c r="S171" s="126">
        <f t="shared" si="12"/>
        <v>335782</v>
      </c>
      <c r="T171" s="126">
        <f t="shared" si="12"/>
        <v>340013</v>
      </c>
      <c r="U171" s="126">
        <f t="shared" si="12"/>
        <v>343583</v>
      </c>
      <c r="V171" s="126">
        <f t="shared" si="12"/>
        <v>346710</v>
      </c>
      <c r="W171" s="126">
        <f t="shared" si="12"/>
        <v>349622</v>
      </c>
      <c r="X171" s="126">
        <f t="shared" si="12"/>
        <v>352314</v>
      </c>
      <c r="Y171" s="126">
        <f t="shared" si="12"/>
        <v>354534</v>
      </c>
      <c r="Z171" s="126">
        <f t="shared" si="12"/>
        <v>356519</v>
      </c>
      <c r="AA171" s="126">
        <f t="shared" si="12"/>
        <v>358266</v>
      </c>
      <c r="AB171" s="126">
        <f t="shared" si="12"/>
        <v>360022</v>
      </c>
      <c r="AC171" s="126">
        <f t="shared" si="12"/>
        <v>361786</v>
      </c>
      <c r="AD171" s="126">
        <f t="shared" si="12"/>
        <v>363306</v>
      </c>
      <c r="AE171" s="126">
        <f t="shared" si="12"/>
        <v>364832</v>
      </c>
      <c r="AF171" s="126">
        <f t="shared" si="12"/>
        <v>366364</v>
      </c>
      <c r="AG171" s="126">
        <f t="shared" si="12"/>
        <v>367903</v>
      </c>
      <c r="AH171" s="126">
        <f t="shared" si="12"/>
        <v>369448</v>
      </c>
      <c r="AI171" s="126">
        <f t="shared" si="12"/>
        <v>370741</v>
      </c>
      <c r="AJ171" s="126">
        <f t="shared" si="12"/>
        <v>372039</v>
      </c>
      <c r="AK171" s="126">
        <f t="shared" si="12"/>
        <v>373341</v>
      </c>
    </row>
    <row r="172" spans="2:37" x14ac:dyDescent="0.2">
      <c r="B172" s="168" t="s">
        <v>154</v>
      </c>
      <c r="C172" s="126">
        <f>ROUND(15700*C29,0)</f>
        <v>16987</v>
      </c>
      <c r="D172" s="126">
        <f t="shared" ref="D172:AK172" si="13">ROUND(C172*(1+(0.7*C34)),0)</f>
        <v>17379</v>
      </c>
      <c r="E172" s="126">
        <f t="shared" si="13"/>
        <v>17866</v>
      </c>
      <c r="F172" s="126">
        <f t="shared" si="13"/>
        <v>18416</v>
      </c>
      <c r="G172" s="126">
        <f t="shared" si="13"/>
        <v>18906</v>
      </c>
      <c r="H172" s="126">
        <f t="shared" si="13"/>
        <v>19382</v>
      </c>
      <c r="I172" s="126">
        <f t="shared" si="13"/>
        <v>19857</v>
      </c>
      <c r="J172" s="126">
        <f t="shared" si="13"/>
        <v>20316</v>
      </c>
      <c r="K172" s="126">
        <f t="shared" si="13"/>
        <v>20771</v>
      </c>
      <c r="L172" s="126">
        <f t="shared" si="13"/>
        <v>21207</v>
      </c>
      <c r="M172" s="126">
        <f t="shared" si="13"/>
        <v>21638</v>
      </c>
      <c r="N172" s="126">
        <f t="shared" si="13"/>
        <v>22062</v>
      </c>
      <c r="O172" s="126">
        <f t="shared" si="13"/>
        <v>22479</v>
      </c>
      <c r="P172" s="126">
        <f t="shared" si="13"/>
        <v>22888</v>
      </c>
      <c r="Q172" s="126">
        <f t="shared" si="13"/>
        <v>23289</v>
      </c>
      <c r="R172" s="126">
        <f t="shared" si="13"/>
        <v>23664</v>
      </c>
      <c r="S172" s="126">
        <f t="shared" si="13"/>
        <v>23995</v>
      </c>
      <c r="T172" s="126">
        <f t="shared" si="13"/>
        <v>24297</v>
      </c>
      <c r="U172" s="126">
        <f t="shared" si="13"/>
        <v>24552</v>
      </c>
      <c r="V172" s="126">
        <f t="shared" si="13"/>
        <v>24775</v>
      </c>
      <c r="W172" s="126">
        <f t="shared" si="13"/>
        <v>24983</v>
      </c>
      <c r="X172" s="126">
        <f t="shared" si="13"/>
        <v>25175</v>
      </c>
      <c r="Y172" s="126">
        <f t="shared" si="13"/>
        <v>25334</v>
      </c>
      <c r="Z172" s="126">
        <f t="shared" si="13"/>
        <v>25476</v>
      </c>
      <c r="AA172" s="126">
        <f t="shared" si="13"/>
        <v>25601</v>
      </c>
      <c r="AB172" s="126">
        <f t="shared" si="13"/>
        <v>25726</v>
      </c>
      <c r="AC172" s="126">
        <f t="shared" si="13"/>
        <v>25852</v>
      </c>
      <c r="AD172" s="126">
        <f t="shared" si="13"/>
        <v>25961</v>
      </c>
      <c r="AE172" s="126">
        <f t="shared" si="13"/>
        <v>26070</v>
      </c>
      <c r="AF172" s="126">
        <f t="shared" si="13"/>
        <v>26179</v>
      </c>
      <c r="AG172" s="126">
        <f t="shared" si="13"/>
        <v>26289</v>
      </c>
      <c r="AH172" s="126">
        <f t="shared" si="13"/>
        <v>26399</v>
      </c>
      <c r="AI172" s="126">
        <f t="shared" si="13"/>
        <v>26491</v>
      </c>
      <c r="AJ172" s="126">
        <f t="shared" si="13"/>
        <v>26584</v>
      </c>
      <c r="AK172" s="126">
        <f t="shared" si="13"/>
        <v>26677</v>
      </c>
    </row>
    <row r="173" spans="2:37" x14ac:dyDescent="0.2">
      <c r="B173" s="168" t="s">
        <v>155</v>
      </c>
      <c r="C173" s="126">
        <v>3217</v>
      </c>
      <c r="D173" s="126">
        <f t="shared" ref="D173:AK173" si="14">ROUND(C173*(1+(0.7*C34)),0)</f>
        <v>3291</v>
      </c>
      <c r="E173" s="126">
        <f t="shared" si="14"/>
        <v>3383</v>
      </c>
      <c r="F173" s="126">
        <f t="shared" si="14"/>
        <v>3487</v>
      </c>
      <c r="G173" s="126">
        <f t="shared" si="14"/>
        <v>3580</v>
      </c>
      <c r="H173" s="126">
        <f t="shared" si="14"/>
        <v>3670</v>
      </c>
      <c r="I173" s="126">
        <f t="shared" si="14"/>
        <v>3760</v>
      </c>
      <c r="J173" s="126">
        <f t="shared" si="14"/>
        <v>3847</v>
      </c>
      <c r="K173" s="126">
        <f t="shared" si="14"/>
        <v>3933</v>
      </c>
      <c r="L173" s="126">
        <f t="shared" si="14"/>
        <v>4016</v>
      </c>
      <c r="M173" s="126">
        <f t="shared" si="14"/>
        <v>4098</v>
      </c>
      <c r="N173" s="126">
        <f t="shared" si="14"/>
        <v>4178</v>
      </c>
      <c r="O173" s="126">
        <f t="shared" si="14"/>
        <v>4257</v>
      </c>
      <c r="P173" s="126">
        <f t="shared" si="14"/>
        <v>4334</v>
      </c>
      <c r="Q173" s="126">
        <f t="shared" si="14"/>
        <v>4410</v>
      </c>
      <c r="R173" s="126">
        <f t="shared" si="14"/>
        <v>4481</v>
      </c>
      <c r="S173" s="126">
        <f t="shared" si="14"/>
        <v>4544</v>
      </c>
      <c r="T173" s="126">
        <f t="shared" si="14"/>
        <v>4601</v>
      </c>
      <c r="U173" s="126">
        <f t="shared" si="14"/>
        <v>4649</v>
      </c>
      <c r="V173" s="126">
        <f t="shared" si="14"/>
        <v>4691</v>
      </c>
      <c r="W173" s="126">
        <f t="shared" si="14"/>
        <v>4730</v>
      </c>
      <c r="X173" s="126">
        <f t="shared" si="14"/>
        <v>4766</v>
      </c>
      <c r="Y173" s="126">
        <f t="shared" si="14"/>
        <v>4796</v>
      </c>
      <c r="Z173" s="126">
        <f t="shared" si="14"/>
        <v>4823</v>
      </c>
      <c r="AA173" s="126">
        <f t="shared" si="14"/>
        <v>4847</v>
      </c>
      <c r="AB173" s="126">
        <f t="shared" si="14"/>
        <v>4871</v>
      </c>
      <c r="AC173" s="126">
        <f t="shared" si="14"/>
        <v>4895</v>
      </c>
      <c r="AD173" s="126">
        <f t="shared" si="14"/>
        <v>4916</v>
      </c>
      <c r="AE173" s="126">
        <f t="shared" si="14"/>
        <v>4937</v>
      </c>
      <c r="AF173" s="126">
        <f t="shared" si="14"/>
        <v>4958</v>
      </c>
      <c r="AG173" s="126">
        <f t="shared" si="14"/>
        <v>4979</v>
      </c>
      <c r="AH173" s="126">
        <f t="shared" si="14"/>
        <v>5000</v>
      </c>
      <c r="AI173" s="126">
        <f t="shared" si="14"/>
        <v>5018</v>
      </c>
      <c r="AJ173" s="126">
        <f t="shared" si="14"/>
        <v>5036</v>
      </c>
      <c r="AK173" s="126">
        <f t="shared" si="14"/>
        <v>5054</v>
      </c>
    </row>
    <row r="174" spans="2:37" x14ac:dyDescent="0.2">
      <c r="B174" s="1" t="s">
        <v>281</v>
      </c>
    </row>
    <row r="175" spans="2:37" x14ac:dyDescent="0.2">
      <c r="B175" s="1"/>
    </row>
    <row r="176" spans="2:37" x14ac:dyDescent="0.2">
      <c r="B176" s="118" t="s">
        <v>282</v>
      </c>
      <c r="C176" s="103">
        <v>2016</v>
      </c>
      <c r="D176" s="103">
        <v>2017</v>
      </c>
      <c r="E176" s="103">
        <v>2018</v>
      </c>
      <c r="F176" s="103">
        <v>2019</v>
      </c>
      <c r="G176" s="103">
        <v>2020</v>
      </c>
      <c r="H176" s="103">
        <v>2021</v>
      </c>
      <c r="I176" s="103">
        <v>2022</v>
      </c>
      <c r="J176" s="103">
        <v>2023</v>
      </c>
      <c r="K176" s="103">
        <v>2024</v>
      </c>
      <c r="L176" s="103">
        <v>2025</v>
      </c>
      <c r="M176" s="103">
        <v>2026</v>
      </c>
      <c r="N176" s="103">
        <v>2027</v>
      </c>
      <c r="O176" s="103">
        <v>2028</v>
      </c>
      <c r="P176" s="103">
        <v>2029</v>
      </c>
      <c r="Q176" s="103">
        <v>2030</v>
      </c>
      <c r="R176" s="103">
        <v>2031</v>
      </c>
      <c r="S176" s="103">
        <v>2032</v>
      </c>
      <c r="T176" s="103">
        <v>2033</v>
      </c>
      <c r="U176" s="103">
        <v>2034</v>
      </c>
      <c r="V176" s="103">
        <v>2035</v>
      </c>
      <c r="W176" s="103">
        <v>2036</v>
      </c>
      <c r="X176" s="103">
        <v>2037</v>
      </c>
      <c r="Y176" s="103">
        <v>2038</v>
      </c>
      <c r="Z176" s="103">
        <v>2039</v>
      </c>
      <c r="AA176" s="103">
        <v>2040</v>
      </c>
      <c r="AB176" s="103">
        <v>2041</v>
      </c>
      <c r="AC176" s="103">
        <v>2042</v>
      </c>
      <c r="AD176" s="103">
        <v>2043</v>
      </c>
      <c r="AE176" s="103">
        <v>2044</v>
      </c>
      <c r="AF176" s="103">
        <v>2045</v>
      </c>
      <c r="AG176" s="103">
        <v>2046</v>
      </c>
      <c r="AH176" s="103">
        <v>2047</v>
      </c>
      <c r="AI176" s="103">
        <v>2048</v>
      </c>
      <c r="AJ176" s="103">
        <v>2049</v>
      </c>
      <c r="AK176" s="103"/>
    </row>
    <row r="177" spans="2:37" x14ac:dyDescent="0.2">
      <c r="B177" s="150" t="s">
        <v>279</v>
      </c>
      <c r="C177" s="151">
        <v>31</v>
      </c>
      <c r="D177" s="151">
        <v>32</v>
      </c>
      <c r="E177" s="151">
        <v>33</v>
      </c>
      <c r="F177" s="151">
        <v>34</v>
      </c>
      <c r="G177" s="151">
        <v>35</v>
      </c>
      <c r="H177" s="151">
        <v>36</v>
      </c>
      <c r="I177" s="151">
        <v>37</v>
      </c>
      <c r="J177" s="151">
        <v>38</v>
      </c>
      <c r="K177" s="151">
        <v>39</v>
      </c>
      <c r="L177" s="151">
        <v>40</v>
      </c>
      <c r="M177" s="151">
        <v>41</v>
      </c>
      <c r="N177" s="151">
        <v>42</v>
      </c>
      <c r="O177" s="151">
        <v>43</v>
      </c>
      <c r="P177" s="151">
        <v>44</v>
      </c>
      <c r="Q177" s="151">
        <v>45</v>
      </c>
      <c r="R177" s="151">
        <v>45.5</v>
      </c>
      <c r="S177" s="151">
        <v>46</v>
      </c>
      <c r="T177" s="151">
        <v>46.5</v>
      </c>
      <c r="U177" s="151">
        <v>47</v>
      </c>
      <c r="V177" s="151">
        <v>47.5</v>
      </c>
      <c r="W177" s="151">
        <v>48</v>
      </c>
      <c r="X177" s="151">
        <v>48.5</v>
      </c>
      <c r="Y177" s="151">
        <v>49</v>
      </c>
      <c r="Z177" s="151">
        <v>49.5</v>
      </c>
      <c r="AA177" s="151">
        <v>50</v>
      </c>
      <c r="AB177" s="151">
        <v>50.5</v>
      </c>
      <c r="AC177" s="151">
        <v>51</v>
      </c>
      <c r="AD177" s="151">
        <v>51.5</v>
      </c>
      <c r="AE177" s="151">
        <v>52</v>
      </c>
      <c r="AF177" s="151">
        <v>52.5</v>
      </c>
      <c r="AG177" s="151">
        <v>53</v>
      </c>
      <c r="AH177" s="151">
        <v>53.5</v>
      </c>
      <c r="AI177" s="151">
        <v>54</v>
      </c>
      <c r="AJ177" s="151">
        <v>54.5</v>
      </c>
      <c r="AK177" s="151"/>
    </row>
    <row r="178" spans="2:37" x14ac:dyDescent="0.2">
      <c r="B178" s="150" t="s">
        <v>280</v>
      </c>
      <c r="C178" s="151">
        <v>36.380000000000003</v>
      </c>
      <c r="D178" s="151">
        <v>37.549999999999997</v>
      </c>
      <c r="E178" s="151">
        <v>38.72</v>
      </c>
      <c r="F178" s="151">
        <v>39.9</v>
      </c>
      <c r="G178" s="151">
        <v>41.07</v>
      </c>
      <c r="H178" s="151">
        <v>42.24</v>
      </c>
      <c r="I178" s="151">
        <v>43.42</v>
      </c>
      <c r="J178" s="151">
        <v>44.59</v>
      </c>
      <c r="K178" s="151">
        <v>45.76</v>
      </c>
      <c r="L178" s="151">
        <v>46.94</v>
      </c>
      <c r="M178" s="151">
        <v>48.11</v>
      </c>
      <c r="N178" s="151">
        <v>49.28</v>
      </c>
      <c r="O178" s="151">
        <v>50.46</v>
      </c>
      <c r="P178" s="151">
        <v>51.63</v>
      </c>
      <c r="Q178" s="151">
        <v>52.8</v>
      </c>
      <c r="R178" s="151">
        <v>53.39</v>
      </c>
      <c r="S178" s="151">
        <v>53.98</v>
      </c>
      <c r="T178" s="151">
        <v>54.56</v>
      </c>
      <c r="U178" s="151">
        <v>55.15</v>
      </c>
      <c r="V178" s="151">
        <v>55.74</v>
      </c>
      <c r="W178" s="151">
        <v>56.32</v>
      </c>
      <c r="X178" s="151">
        <v>56.91</v>
      </c>
      <c r="Y178" s="151">
        <v>57.5</v>
      </c>
      <c r="Z178" s="151">
        <v>58.08</v>
      </c>
      <c r="AA178" s="151">
        <v>58.67</v>
      </c>
      <c r="AB178" s="151">
        <v>59.26</v>
      </c>
      <c r="AC178" s="151">
        <v>59.84</v>
      </c>
      <c r="AD178" s="151">
        <v>60.43</v>
      </c>
      <c r="AE178" s="151">
        <v>61.02</v>
      </c>
      <c r="AF178" s="151">
        <v>61.6</v>
      </c>
      <c r="AG178" s="151">
        <v>62.19</v>
      </c>
      <c r="AH178" s="151">
        <v>62.78</v>
      </c>
      <c r="AI178" s="151">
        <v>63.36</v>
      </c>
      <c r="AJ178" s="151">
        <v>63.95</v>
      </c>
      <c r="AK178" s="151"/>
    </row>
    <row r="179" spans="2:37" x14ac:dyDescent="0.2">
      <c r="B179" s="1" t="s">
        <v>283</v>
      </c>
    </row>
    <row r="180" spans="2:37" x14ac:dyDescent="0.2">
      <c r="B180" s="1"/>
    </row>
    <row r="181" spans="2:37" x14ac:dyDescent="0.2">
      <c r="B181" s="22" t="s">
        <v>303</v>
      </c>
    </row>
    <row r="182" spans="2:37" ht="22.5" x14ac:dyDescent="0.2">
      <c r="B182" s="101" t="s">
        <v>284</v>
      </c>
      <c r="C182" s="101" t="s">
        <v>285</v>
      </c>
      <c r="D182" s="95" t="s">
        <v>286</v>
      </c>
      <c r="E182" s="101" t="s">
        <v>287</v>
      </c>
      <c r="F182" s="101" t="s">
        <v>288</v>
      </c>
      <c r="G182" s="101" t="s">
        <v>289</v>
      </c>
    </row>
    <row r="183" spans="2:37" x14ac:dyDescent="0.2">
      <c r="B183" s="191" t="s">
        <v>290</v>
      </c>
      <c r="C183" s="191" t="s">
        <v>291</v>
      </c>
      <c r="D183" s="102" t="s">
        <v>292</v>
      </c>
      <c r="E183" s="152">
        <v>6.4</v>
      </c>
      <c r="F183" s="152">
        <v>0.4</v>
      </c>
      <c r="G183" s="152">
        <v>0.1</v>
      </c>
    </row>
    <row r="184" spans="2:37" x14ac:dyDescent="0.2">
      <c r="B184" s="191"/>
      <c r="C184" s="191"/>
      <c r="D184" s="102" t="s">
        <v>293</v>
      </c>
      <c r="E184" s="152">
        <v>15.7</v>
      </c>
      <c r="F184" s="152">
        <v>1</v>
      </c>
      <c r="G184" s="152">
        <v>0.1</v>
      </c>
    </row>
    <row r="185" spans="2:37" x14ac:dyDescent="0.2">
      <c r="B185" s="191"/>
      <c r="C185" s="191" t="s">
        <v>294</v>
      </c>
      <c r="D185" s="102" t="s">
        <v>292</v>
      </c>
      <c r="E185" s="152">
        <v>11.8</v>
      </c>
      <c r="F185" s="152">
        <v>0.6</v>
      </c>
      <c r="G185" s="152">
        <v>0.1</v>
      </c>
    </row>
    <row r="186" spans="2:37" x14ac:dyDescent="0.2">
      <c r="B186" s="191"/>
      <c r="C186" s="191"/>
      <c r="D186" s="102" t="s">
        <v>293</v>
      </c>
      <c r="E186" s="152">
        <v>28.6</v>
      </c>
      <c r="F186" s="152">
        <v>1.9</v>
      </c>
      <c r="G186" s="152">
        <v>0.3</v>
      </c>
    </row>
    <row r="187" spans="2:37" x14ac:dyDescent="0.2">
      <c r="B187" s="191" t="s">
        <v>295</v>
      </c>
      <c r="C187" s="191" t="s">
        <v>291</v>
      </c>
      <c r="D187" s="102" t="s">
        <v>292</v>
      </c>
      <c r="E187" s="152">
        <v>13</v>
      </c>
      <c r="F187" s="152">
        <v>0.8</v>
      </c>
      <c r="G187" s="152">
        <v>0.1</v>
      </c>
    </row>
    <row r="188" spans="2:37" x14ac:dyDescent="0.2">
      <c r="B188" s="191"/>
      <c r="C188" s="191"/>
      <c r="D188" s="102" t="s">
        <v>293</v>
      </c>
      <c r="E188" s="152">
        <v>31.4</v>
      </c>
      <c r="F188" s="152">
        <v>2</v>
      </c>
      <c r="G188" s="152">
        <v>0.3</v>
      </c>
    </row>
    <row r="189" spans="2:37" x14ac:dyDescent="0.2">
      <c r="B189" s="191"/>
      <c r="C189" s="191" t="s">
        <v>294</v>
      </c>
      <c r="D189" s="102" t="s">
        <v>292</v>
      </c>
      <c r="E189" s="152">
        <v>23.6</v>
      </c>
      <c r="F189" s="152">
        <v>1.4</v>
      </c>
      <c r="G189" s="152">
        <v>0.1</v>
      </c>
    </row>
    <row r="190" spans="2:37" x14ac:dyDescent="0.2">
      <c r="B190" s="191"/>
      <c r="C190" s="191"/>
      <c r="D190" s="102" t="s">
        <v>293</v>
      </c>
      <c r="E190" s="152">
        <v>57.1</v>
      </c>
      <c r="F190" s="152">
        <v>3.7</v>
      </c>
      <c r="G190" s="152">
        <v>0.4</v>
      </c>
    </row>
    <row r="191" spans="2:37" x14ac:dyDescent="0.2">
      <c r="B191" s="191" t="s">
        <v>223</v>
      </c>
      <c r="C191" s="191" t="s">
        <v>291</v>
      </c>
      <c r="D191" s="102" t="s">
        <v>292</v>
      </c>
      <c r="E191" s="152">
        <v>32.299999999999997</v>
      </c>
      <c r="F191" s="152">
        <v>1.8</v>
      </c>
      <c r="G191" s="152">
        <v>0.3</v>
      </c>
    </row>
    <row r="192" spans="2:37" x14ac:dyDescent="0.2">
      <c r="B192" s="191"/>
      <c r="C192" s="191"/>
      <c r="D192" s="102" t="s">
        <v>293</v>
      </c>
      <c r="E192" s="152">
        <v>78.5</v>
      </c>
      <c r="F192" s="152">
        <v>5</v>
      </c>
      <c r="G192" s="152">
        <v>0.6</v>
      </c>
    </row>
    <row r="193" spans="2:7" x14ac:dyDescent="0.2">
      <c r="B193" s="191"/>
      <c r="C193" s="191" t="s">
        <v>294</v>
      </c>
      <c r="D193" s="102" t="s">
        <v>292</v>
      </c>
      <c r="E193" s="152">
        <v>58.9</v>
      </c>
      <c r="F193" s="152">
        <v>3.3</v>
      </c>
      <c r="G193" s="152">
        <v>0.5</v>
      </c>
    </row>
    <row r="194" spans="2:7" x14ac:dyDescent="0.2">
      <c r="B194" s="191"/>
      <c r="C194" s="191"/>
      <c r="D194" s="102" t="s">
        <v>293</v>
      </c>
      <c r="E194" s="152">
        <v>142.80000000000001</v>
      </c>
      <c r="F194" s="152">
        <v>9.3000000000000007</v>
      </c>
      <c r="G194" s="152">
        <v>1.1000000000000001</v>
      </c>
    </row>
    <row r="195" spans="2:7" x14ac:dyDescent="0.2">
      <c r="B195" s="191" t="s">
        <v>296</v>
      </c>
      <c r="C195" s="191" t="s">
        <v>291</v>
      </c>
      <c r="D195" s="102" t="s">
        <v>292</v>
      </c>
      <c r="E195" s="152">
        <v>32.299999999999997</v>
      </c>
      <c r="F195" s="152">
        <v>1.8</v>
      </c>
      <c r="G195" s="152">
        <v>0.3</v>
      </c>
    </row>
    <row r="196" spans="2:7" x14ac:dyDescent="0.2">
      <c r="B196" s="191"/>
      <c r="C196" s="191"/>
      <c r="D196" s="102" t="s">
        <v>293</v>
      </c>
      <c r="E196" s="152">
        <v>78.5</v>
      </c>
      <c r="F196" s="152">
        <v>5</v>
      </c>
      <c r="G196" s="152">
        <v>0.6</v>
      </c>
    </row>
    <row r="197" spans="2:7" x14ac:dyDescent="0.2">
      <c r="B197" s="191"/>
      <c r="C197" s="191" t="s">
        <v>294</v>
      </c>
      <c r="D197" s="102" t="s">
        <v>292</v>
      </c>
      <c r="E197" s="152">
        <v>58.9</v>
      </c>
      <c r="F197" s="152">
        <v>3.3</v>
      </c>
      <c r="G197" s="152">
        <v>0.5</v>
      </c>
    </row>
    <row r="198" spans="2:7" x14ac:dyDescent="0.2">
      <c r="B198" s="191"/>
      <c r="C198" s="191"/>
      <c r="D198" s="102" t="s">
        <v>293</v>
      </c>
      <c r="E198" s="152">
        <v>142.80000000000001</v>
      </c>
      <c r="F198" s="152">
        <v>9.3000000000000007</v>
      </c>
      <c r="G198" s="152">
        <v>1.1000000000000001</v>
      </c>
    </row>
    <row r="199" spans="2:7" x14ac:dyDescent="0.2">
      <c r="B199" s="191" t="s">
        <v>297</v>
      </c>
      <c r="C199" s="191" t="s">
        <v>291</v>
      </c>
      <c r="D199" s="102" t="s">
        <v>292</v>
      </c>
      <c r="E199" s="152">
        <v>59.4</v>
      </c>
      <c r="F199" s="152">
        <v>3.3</v>
      </c>
      <c r="G199" s="152">
        <v>0.5</v>
      </c>
    </row>
    <row r="200" spans="2:7" x14ac:dyDescent="0.2">
      <c r="B200" s="191"/>
      <c r="C200" s="191"/>
      <c r="D200" s="102" t="s">
        <v>293</v>
      </c>
      <c r="E200" s="152">
        <v>144.19999999999999</v>
      </c>
      <c r="F200" s="152">
        <v>9.3000000000000007</v>
      </c>
      <c r="G200" s="152">
        <v>1.1000000000000001</v>
      </c>
    </row>
    <row r="201" spans="2:7" x14ac:dyDescent="0.2">
      <c r="B201" s="191"/>
      <c r="C201" s="191" t="s">
        <v>294</v>
      </c>
      <c r="D201" s="102" t="s">
        <v>292</v>
      </c>
      <c r="E201" s="152">
        <v>108.4</v>
      </c>
      <c r="F201" s="152">
        <v>6.1</v>
      </c>
      <c r="G201" s="152">
        <v>0.9</v>
      </c>
    </row>
    <row r="202" spans="2:7" x14ac:dyDescent="0.2">
      <c r="B202" s="191"/>
      <c r="C202" s="191"/>
      <c r="D202" s="102" t="s">
        <v>293</v>
      </c>
      <c r="E202" s="152">
        <v>262.8</v>
      </c>
      <c r="F202" s="152">
        <v>17</v>
      </c>
      <c r="G202" s="152">
        <v>1.9</v>
      </c>
    </row>
    <row r="203" spans="2:7" x14ac:dyDescent="0.2">
      <c r="B203" s="1" t="s">
        <v>302</v>
      </c>
    </row>
  </sheetData>
  <mergeCells count="32">
    <mergeCell ref="B139:C139"/>
    <mergeCell ref="B7:C7"/>
    <mergeCell ref="B61:C61"/>
    <mergeCell ref="B68:C68"/>
    <mergeCell ref="B69:B72"/>
    <mergeCell ref="B73:B75"/>
    <mergeCell ref="B78:C78"/>
    <mergeCell ref="B23:C23"/>
    <mergeCell ref="B33:B34"/>
    <mergeCell ref="B42:E42"/>
    <mergeCell ref="B55:E55"/>
    <mergeCell ref="C109:N109"/>
    <mergeCell ref="B111:N111"/>
    <mergeCell ref="B117:N117"/>
    <mergeCell ref="B123:N123"/>
    <mergeCell ref="B131:C131"/>
    <mergeCell ref="B146:F146"/>
    <mergeCell ref="B183:B186"/>
    <mergeCell ref="C183:C184"/>
    <mergeCell ref="B187:B190"/>
    <mergeCell ref="C187:C188"/>
    <mergeCell ref="C189:C190"/>
    <mergeCell ref="B199:B202"/>
    <mergeCell ref="C199:C200"/>
    <mergeCell ref="C201:C202"/>
    <mergeCell ref="B191:B194"/>
    <mergeCell ref="C185:C186"/>
    <mergeCell ref="C191:C192"/>
    <mergeCell ref="C193:C194"/>
    <mergeCell ref="B195:B198"/>
    <mergeCell ref="C195:C196"/>
    <mergeCell ref="C197:C198"/>
  </mergeCells>
  <phoneticPr fontId="2" type="noConversion"/>
  <pageMargins left="0.19685039370078741" right="0.19685039370078741" top="0.98425196850393704" bottom="0.78740157480314965" header="0.51181102362204722" footer="0.51181102362204722"/>
  <pageSetup paperSize="9" scale="75" orientation="landscape" r:id="rId1"/>
  <headerFooter alignWithMargins="0">
    <oddHeader>&amp;LPríloha 7: Štandardné tabuľky - Cesty
&amp;"Arial,Tučné"&amp;12Parametre</oddHeader>
    <oddFooter>&amp;CStrana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</sheetPr>
  <dimension ref="B1:P29"/>
  <sheetViews>
    <sheetView zoomScaleNormal="100" workbookViewId="0">
      <selection activeCell="B1" sqref="B1"/>
    </sheetView>
  </sheetViews>
  <sheetFormatPr defaultRowHeight="11.25" x14ac:dyDescent="0.2"/>
  <cols>
    <col min="1" max="1" width="2.7109375" style="65" customWidth="1"/>
    <col min="2" max="2" width="33.7109375" style="65" customWidth="1"/>
    <col min="3" max="3" width="13.7109375" style="65" customWidth="1"/>
    <col min="4" max="6" width="5" style="65" bestFit="1" customWidth="1"/>
    <col min="7" max="16" width="5" style="65" customWidth="1"/>
    <col min="17" max="16384" width="9.140625" style="65"/>
  </cols>
  <sheetData>
    <row r="1" spans="2:16" x14ac:dyDescent="0.2">
      <c r="B1" s="180" t="s">
        <v>338</v>
      </c>
    </row>
    <row r="2" spans="2:16" x14ac:dyDescent="0.2">
      <c r="C2" s="66"/>
      <c r="D2" s="66" t="s">
        <v>13</v>
      </c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</row>
    <row r="3" spans="2:16" x14ac:dyDescent="0.2">
      <c r="B3" s="67" t="s">
        <v>159</v>
      </c>
      <c r="C3" s="67"/>
      <c r="D3" s="66">
        <v>1</v>
      </c>
      <c r="E3" s="66">
        <v>2</v>
      </c>
      <c r="F3" s="66">
        <v>3</v>
      </c>
      <c r="G3" s="66">
        <v>4</v>
      </c>
      <c r="H3" s="66">
        <v>5</v>
      </c>
      <c r="I3" s="66">
        <v>6</v>
      </c>
      <c r="J3" s="66">
        <v>7</v>
      </c>
      <c r="K3" s="66">
        <v>8</v>
      </c>
      <c r="L3" s="66">
        <v>9</v>
      </c>
      <c r="M3" s="66">
        <v>10</v>
      </c>
      <c r="N3" s="66">
        <v>11</v>
      </c>
      <c r="O3" s="66">
        <v>12</v>
      </c>
      <c r="P3" s="66">
        <v>13</v>
      </c>
    </row>
    <row r="4" spans="2:16" x14ac:dyDescent="0.2">
      <c r="B4" s="74" t="s">
        <v>66</v>
      </c>
      <c r="C4" s="74" t="s">
        <v>12</v>
      </c>
      <c r="D4" s="75">
        <v>2022</v>
      </c>
      <c r="E4" s="75">
        <f>$D$4+D3</f>
        <v>2023</v>
      </c>
      <c r="F4" s="75">
        <f>$D$4+E3</f>
        <v>2024</v>
      </c>
      <c r="G4" s="75">
        <f t="shared" ref="G4:P4" si="0">$D$4+F3</f>
        <v>2025</v>
      </c>
      <c r="H4" s="75">
        <f t="shared" si="0"/>
        <v>2026</v>
      </c>
      <c r="I4" s="75">
        <f t="shared" si="0"/>
        <v>2027</v>
      </c>
      <c r="J4" s="75">
        <f t="shared" si="0"/>
        <v>2028</v>
      </c>
      <c r="K4" s="75">
        <f t="shared" si="0"/>
        <v>2029</v>
      </c>
      <c r="L4" s="75">
        <f t="shared" si="0"/>
        <v>2030</v>
      </c>
      <c r="M4" s="75">
        <f t="shared" si="0"/>
        <v>2031</v>
      </c>
      <c r="N4" s="75">
        <f t="shared" si="0"/>
        <v>2032</v>
      </c>
      <c r="O4" s="75">
        <f t="shared" si="0"/>
        <v>2033</v>
      </c>
      <c r="P4" s="75">
        <f t="shared" si="0"/>
        <v>2034</v>
      </c>
    </row>
    <row r="5" spans="2:16" x14ac:dyDescent="0.2">
      <c r="B5" s="66" t="s">
        <v>152</v>
      </c>
      <c r="C5" s="68">
        <f>SUM(D5:P5)</f>
        <v>0</v>
      </c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</row>
    <row r="6" spans="2:16" x14ac:dyDescent="0.2">
      <c r="B6" s="66" t="s">
        <v>153</v>
      </c>
      <c r="C6" s="68">
        <f>SUM(D6:P6)</f>
        <v>0</v>
      </c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</row>
    <row r="7" spans="2:16" x14ac:dyDescent="0.2">
      <c r="B7" s="66" t="s">
        <v>154</v>
      </c>
      <c r="C7" s="68">
        <f>SUM(D7:P7)</f>
        <v>0</v>
      </c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</row>
    <row r="8" spans="2:16" x14ac:dyDescent="0.2">
      <c r="B8" s="66" t="s">
        <v>155</v>
      </c>
      <c r="C8" s="68">
        <f>SUM(D8:P8)</f>
        <v>0</v>
      </c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</row>
    <row r="9" spans="2:16" x14ac:dyDescent="0.2">
      <c r="B9" s="67" t="s">
        <v>12</v>
      </c>
      <c r="C9" s="70">
        <f>SUM(D9:P9)</f>
        <v>0</v>
      </c>
      <c r="D9" s="70">
        <f>SUM(D5:D8)</f>
        <v>0</v>
      </c>
      <c r="E9" s="70">
        <f t="shared" ref="E9:P9" si="1">SUM(E5:E8)</f>
        <v>0</v>
      </c>
      <c r="F9" s="70">
        <f t="shared" si="1"/>
        <v>0</v>
      </c>
      <c r="G9" s="70">
        <f t="shared" si="1"/>
        <v>0</v>
      </c>
      <c r="H9" s="70">
        <f t="shared" si="1"/>
        <v>0</v>
      </c>
      <c r="I9" s="70">
        <f t="shared" si="1"/>
        <v>0</v>
      </c>
      <c r="J9" s="70">
        <f t="shared" si="1"/>
        <v>0</v>
      </c>
      <c r="K9" s="70">
        <f t="shared" si="1"/>
        <v>0</v>
      </c>
      <c r="L9" s="70">
        <f t="shared" si="1"/>
        <v>0</v>
      </c>
      <c r="M9" s="70">
        <f t="shared" si="1"/>
        <v>0</v>
      </c>
      <c r="N9" s="70">
        <f t="shared" si="1"/>
        <v>0</v>
      </c>
      <c r="O9" s="70">
        <f t="shared" si="1"/>
        <v>0</v>
      </c>
      <c r="P9" s="70">
        <f t="shared" si="1"/>
        <v>0</v>
      </c>
    </row>
    <row r="12" spans="2:16" x14ac:dyDescent="0.2">
      <c r="C12" s="66"/>
      <c r="D12" s="66" t="s">
        <v>13</v>
      </c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</row>
    <row r="13" spans="2:16" x14ac:dyDescent="0.2">
      <c r="B13" s="67" t="s">
        <v>71</v>
      </c>
      <c r="C13" s="67"/>
      <c r="D13" s="71">
        <v>1</v>
      </c>
      <c r="E13" s="71">
        <v>2</v>
      </c>
      <c r="F13" s="71">
        <v>3</v>
      </c>
      <c r="G13" s="71">
        <v>4</v>
      </c>
      <c r="H13" s="71">
        <v>5</v>
      </c>
      <c r="I13" s="71">
        <v>6</v>
      </c>
      <c r="J13" s="71">
        <v>7</v>
      </c>
      <c r="K13" s="71">
        <v>8</v>
      </c>
      <c r="L13" s="71">
        <v>9</v>
      </c>
      <c r="M13" s="71">
        <v>10</v>
      </c>
      <c r="N13" s="71">
        <v>11</v>
      </c>
      <c r="O13" s="71">
        <v>12</v>
      </c>
      <c r="P13" s="71">
        <v>13</v>
      </c>
    </row>
    <row r="14" spans="2:16" x14ac:dyDescent="0.2">
      <c r="B14" s="74" t="s">
        <v>68</v>
      </c>
      <c r="C14" s="74" t="s">
        <v>12</v>
      </c>
      <c r="D14" s="76">
        <v>2022</v>
      </c>
      <c r="E14" s="76">
        <f>$D$4+D13</f>
        <v>2023</v>
      </c>
      <c r="F14" s="76">
        <f>$D$4+E13</f>
        <v>2024</v>
      </c>
      <c r="G14" s="76">
        <f t="shared" ref="G14:P14" si="2">$D$4+F13</f>
        <v>2025</v>
      </c>
      <c r="H14" s="76">
        <f t="shared" si="2"/>
        <v>2026</v>
      </c>
      <c r="I14" s="76">
        <f t="shared" si="2"/>
        <v>2027</v>
      </c>
      <c r="J14" s="76">
        <f t="shared" si="2"/>
        <v>2028</v>
      </c>
      <c r="K14" s="76">
        <f t="shared" si="2"/>
        <v>2029</v>
      </c>
      <c r="L14" s="76">
        <f t="shared" si="2"/>
        <v>2030</v>
      </c>
      <c r="M14" s="76">
        <f t="shared" si="2"/>
        <v>2031</v>
      </c>
      <c r="N14" s="76">
        <f t="shared" si="2"/>
        <v>2032</v>
      </c>
      <c r="O14" s="76">
        <f t="shared" si="2"/>
        <v>2033</v>
      </c>
      <c r="P14" s="76">
        <f t="shared" si="2"/>
        <v>2034</v>
      </c>
    </row>
    <row r="15" spans="2:16" x14ac:dyDescent="0.2">
      <c r="B15" s="66" t="s">
        <v>152</v>
      </c>
      <c r="C15" s="68">
        <f>SUM(D15:P15)</f>
        <v>0</v>
      </c>
      <c r="D15" s="69"/>
      <c r="E15" s="69"/>
      <c r="F15" s="69"/>
      <c r="G15" s="69"/>
      <c r="H15" s="69"/>
      <c r="I15" s="69"/>
      <c r="J15" s="69"/>
      <c r="K15" s="69"/>
      <c r="L15" s="69"/>
      <c r="M15" s="69"/>
      <c r="N15" s="69"/>
      <c r="O15" s="69"/>
      <c r="P15" s="69"/>
    </row>
    <row r="16" spans="2:16" x14ac:dyDescent="0.2">
      <c r="B16" s="66" t="s">
        <v>153</v>
      </c>
      <c r="C16" s="68">
        <f>SUM(D16:P16)</f>
        <v>0</v>
      </c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69"/>
    </row>
    <row r="17" spans="2:16" x14ac:dyDescent="0.2">
      <c r="B17" s="66" t="s">
        <v>154</v>
      </c>
      <c r="C17" s="68">
        <f>SUM(D17:P17)</f>
        <v>0</v>
      </c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</row>
    <row r="18" spans="2:16" x14ac:dyDescent="0.2">
      <c r="B18" s="66" t="s">
        <v>155</v>
      </c>
      <c r="C18" s="68">
        <f>SUM(D18:P18)</f>
        <v>0</v>
      </c>
      <c r="D18" s="69"/>
      <c r="E18" s="69"/>
      <c r="F18" s="69"/>
      <c r="G18" s="69"/>
      <c r="H18" s="69"/>
      <c r="I18" s="69"/>
      <c r="J18" s="69"/>
      <c r="K18" s="69"/>
      <c r="L18" s="69"/>
      <c r="M18" s="69"/>
      <c r="N18" s="69"/>
      <c r="O18" s="69"/>
      <c r="P18" s="69"/>
    </row>
    <row r="19" spans="2:16" x14ac:dyDescent="0.2">
      <c r="B19" s="67" t="s">
        <v>12</v>
      </c>
      <c r="C19" s="70">
        <f>SUM(D19:P19)</f>
        <v>0</v>
      </c>
      <c r="D19" s="70">
        <f>SUM(D15:D18)</f>
        <v>0</v>
      </c>
      <c r="E19" s="70">
        <f t="shared" ref="E19:P19" si="3">SUM(E15:E18)</f>
        <v>0</v>
      </c>
      <c r="F19" s="70">
        <f t="shared" si="3"/>
        <v>0</v>
      </c>
      <c r="G19" s="70">
        <f t="shared" si="3"/>
        <v>0</v>
      </c>
      <c r="H19" s="70">
        <f t="shared" si="3"/>
        <v>0</v>
      </c>
      <c r="I19" s="70">
        <f t="shared" si="3"/>
        <v>0</v>
      </c>
      <c r="J19" s="70">
        <f t="shared" si="3"/>
        <v>0</v>
      </c>
      <c r="K19" s="70">
        <f t="shared" si="3"/>
        <v>0</v>
      </c>
      <c r="L19" s="70">
        <f t="shared" si="3"/>
        <v>0</v>
      </c>
      <c r="M19" s="70">
        <f t="shared" si="3"/>
        <v>0</v>
      </c>
      <c r="N19" s="70">
        <f t="shared" si="3"/>
        <v>0</v>
      </c>
      <c r="O19" s="70">
        <f t="shared" si="3"/>
        <v>0</v>
      </c>
      <c r="P19" s="70">
        <f t="shared" si="3"/>
        <v>0</v>
      </c>
    </row>
    <row r="22" spans="2:16" x14ac:dyDescent="0.2">
      <c r="C22" s="66"/>
      <c r="D22" s="66" t="s">
        <v>13</v>
      </c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/>
    </row>
    <row r="23" spans="2:16" x14ac:dyDescent="0.2">
      <c r="B23" s="67" t="s">
        <v>72</v>
      </c>
      <c r="C23" s="67"/>
      <c r="D23" s="66">
        <v>1</v>
      </c>
      <c r="E23" s="66">
        <v>2</v>
      </c>
      <c r="F23" s="66">
        <v>3</v>
      </c>
      <c r="G23" s="66">
        <v>4</v>
      </c>
      <c r="H23" s="66">
        <v>5</v>
      </c>
      <c r="I23" s="66">
        <v>6</v>
      </c>
      <c r="J23" s="66">
        <v>7</v>
      </c>
      <c r="K23" s="66">
        <v>8</v>
      </c>
      <c r="L23" s="66">
        <v>9</v>
      </c>
      <c r="M23" s="66">
        <v>10</v>
      </c>
      <c r="N23" s="66">
        <v>11</v>
      </c>
      <c r="O23" s="66">
        <v>12</v>
      </c>
      <c r="P23" s="66">
        <v>13</v>
      </c>
    </row>
    <row r="24" spans="2:16" x14ac:dyDescent="0.2">
      <c r="B24" s="74" t="s">
        <v>156</v>
      </c>
      <c r="C24" s="74" t="s">
        <v>12</v>
      </c>
      <c r="D24" s="75">
        <f t="shared" ref="D24:P24" si="4">D14</f>
        <v>2022</v>
      </c>
      <c r="E24" s="75">
        <f t="shared" si="4"/>
        <v>2023</v>
      </c>
      <c r="F24" s="75">
        <f t="shared" si="4"/>
        <v>2024</v>
      </c>
      <c r="G24" s="75">
        <f t="shared" si="4"/>
        <v>2025</v>
      </c>
      <c r="H24" s="75">
        <f t="shared" si="4"/>
        <v>2026</v>
      </c>
      <c r="I24" s="75">
        <f t="shared" si="4"/>
        <v>2027</v>
      </c>
      <c r="J24" s="75">
        <f t="shared" si="4"/>
        <v>2028</v>
      </c>
      <c r="K24" s="75">
        <f t="shared" si="4"/>
        <v>2029</v>
      </c>
      <c r="L24" s="75">
        <f t="shared" si="4"/>
        <v>2030</v>
      </c>
      <c r="M24" s="75">
        <f t="shared" si="4"/>
        <v>2031</v>
      </c>
      <c r="N24" s="75">
        <f t="shared" si="4"/>
        <v>2032</v>
      </c>
      <c r="O24" s="75">
        <f t="shared" si="4"/>
        <v>2033</v>
      </c>
      <c r="P24" s="75">
        <f t="shared" si="4"/>
        <v>2034</v>
      </c>
    </row>
    <row r="25" spans="2:16" x14ac:dyDescent="0.2">
      <c r="B25" s="66" t="s">
        <v>152</v>
      </c>
      <c r="C25" s="68">
        <f>SUM(D25:P25)</f>
        <v>0</v>
      </c>
      <c r="D25" s="72">
        <f>D5-D15</f>
        <v>0</v>
      </c>
      <c r="E25" s="72">
        <f t="shared" ref="E25:P25" si="5">E5-E15</f>
        <v>0</v>
      </c>
      <c r="F25" s="72">
        <f t="shared" si="5"/>
        <v>0</v>
      </c>
      <c r="G25" s="72">
        <f t="shared" si="5"/>
        <v>0</v>
      </c>
      <c r="H25" s="72">
        <f t="shared" si="5"/>
        <v>0</v>
      </c>
      <c r="I25" s="72">
        <f t="shared" si="5"/>
        <v>0</v>
      </c>
      <c r="J25" s="72">
        <f t="shared" si="5"/>
        <v>0</v>
      </c>
      <c r="K25" s="72">
        <f t="shared" si="5"/>
        <v>0</v>
      </c>
      <c r="L25" s="72">
        <f t="shared" si="5"/>
        <v>0</v>
      </c>
      <c r="M25" s="72">
        <f t="shared" si="5"/>
        <v>0</v>
      </c>
      <c r="N25" s="72">
        <f t="shared" si="5"/>
        <v>0</v>
      </c>
      <c r="O25" s="72">
        <f t="shared" si="5"/>
        <v>0</v>
      </c>
      <c r="P25" s="72">
        <f t="shared" si="5"/>
        <v>0</v>
      </c>
    </row>
    <row r="26" spans="2:16" x14ac:dyDescent="0.2">
      <c r="B26" s="66" t="s">
        <v>153</v>
      </c>
      <c r="C26" s="68">
        <f>SUM(D26:P26)</f>
        <v>0</v>
      </c>
      <c r="D26" s="72">
        <f>D6-D16</f>
        <v>0</v>
      </c>
      <c r="E26" s="72">
        <f t="shared" ref="E26:P26" si="6">E6-E16</f>
        <v>0</v>
      </c>
      <c r="F26" s="72">
        <f t="shared" si="6"/>
        <v>0</v>
      </c>
      <c r="G26" s="72">
        <f t="shared" si="6"/>
        <v>0</v>
      </c>
      <c r="H26" s="72">
        <f t="shared" si="6"/>
        <v>0</v>
      </c>
      <c r="I26" s="72">
        <f t="shared" si="6"/>
        <v>0</v>
      </c>
      <c r="J26" s="72">
        <f t="shared" si="6"/>
        <v>0</v>
      </c>
      <c r="K26" s="72">
        <f t="shared" si="6"/>
        <v>0</v>
      </c>
      <c r="L26" s="72">
        <f t="shared" si="6"/>
        <v>0</v>
      </c>
      <c r="M26" s="72">
        <f t="shared" si="6"/>
        <v>0</v>
      </c>
      <c r="N26" s="72">
        <f t="shared" si="6"/>
        <v>0</v>
      </c>
      <c r="O26" s="72">
        <f t="shared" si="6"/>
        <v>0</v>
      </c>
      <c r="P26" s="72">
        <f t="shared" si="6"/>
        <v>0</v>
      </c>
    </row>
    <row r="27" spans="2:16" x14ac:dyDescent="0.2">
      <c r="B27" s="66" t="s">
        <v>154</v>
      </c>
      <c r="C27" s="68">
        <f>SUM(D27:P27)</f>
        <v>0</v>
      </c>
      <c r="D27" s="72">
        <f>D7-D17</f>
        <v>0</v>
      </c>
      <c r="E27" s="72">
        <f t="shared" ref="E27:P27" si="7">E7-E17</f>
        <v>0</v>
      </c>
      <c r="F27" s="72">
        <f t="shared" si="7"/>
        <v>0</v>
      </c>
      <c r="G27" s="72">
        <f t="shared" si="7"/>
        <v>0</v>
      </c>
      <c r="H27" s="72">
        <f t="shared" si="7"/>
        <v>0</v>
      </c>
      <c r="I27" s="72">
        <f t="shared" si="7"/>
        <v>0</v>
      </c>
      <c r="J27" s="72">
        <f t="shared" si="7"/>
        <v>0</v>
      </c>
      <c r="K27" s="72">
        <f t="shared" si="7"/>
        <v>0</v>
      </c>
      <c r="L27" s="72">
        <f t="shared" si="7"/>
        <v>0</v>
      </c>
      <c r="M27" s="72">
        <f t="shared" si="7"/>
        <v>0</v>
      </c>
      <c r="N27" s="72">
        <f t="shared" si="7"/>
        <v>0</v>
      </c>
      <c r="O27" s="72">
        <f t="shared" si="7"/>
        <v>0</v>
      </c>
      <c r="P27" s="72">
        <f t="shared" si="7"/>
        <v>0</v>
      </c>
    </row>
    <row r="28" spans="2:16" ht="12" thickBot="1" x14ac:dyDescent="0.25">
      <c r="B28" s="66" t="s">
        <v>155</v>
      </c>
      <c r="C28" s="79">
        <f>SUM(D28:P28)</f>
        <v>0</v>
      </c>
      <c r="D28" s="72">
        <f>D8-D18</f>
        <v>0</v>
      </c>
      <c r="E28" s="72">
        <f t="shared" ref="E28:P28" si="8">E8-E18</f>
        <v>0</v>
      </c>
      <c r="F28" s="72">
        <f t="shared" si="8"/>
        <v>0</v>
      </c>
      <c r="G28" s="72">
        <f t="shared" si="8"/>
        <v>0</v>
      </c>
      <c r="H28" s="72">
        <f t="shared" si="8"/>
        <v>0</v>
      </c>
      <c r="I28" s="72">
        <f t="shared" si="8"/>
        <v>0</v>
      </c>
      <c r="J28" s="72">
        <f t="shared" si="8"/>
        <v>0</v>
      </c>
      <c r="K28" s="72">
        <f t="shared" si="8"/>
        <v>0</v>
      </c>
      <c r="L28" s="72">
        <f t="shared" si="8"/>
        <v>0</v>
      </c>
      <c r="M28" s="72">
        <f t="shared" si="8"/>
        <v>0</v>
      </c>
      <c r="N28" s="72">
        <f t="shared" si="8"/>
        <v>0</v>
      </c>
      <c r="O28" s="72">
        <f t="shared" si="8"/>
        <v>0</v>
      </c>
      <c r="P28" s="72">
        <f t="shared" si="8"/>
        <v>0</v>
      </c>
    </row>
    <row r="29" spans="2:16" ht="12" thickBot="1" x14ac:dyDescent="0.25">
      <c r="B29" s="77" t="s">
        <v>151</v>
      </c>
      <c r="C29" s="173">
        <f>SUM(D29:P29)</f>
        <v>0</v>
      </c>
      <c r="D29" s="78">
        <f>SUM(D25:D28)</f>
        <v>0</v>
      </c>
      <c r="E29" s="73">
        <f t="shared" ref="E29:P29" si="9">SUM(E25:E28)</f>
        <v>0</v>
      </c>
      <c r="F29" s="73">
        <f t="shared" si="9"/>
        <v>0</v>
      </c>
      <c r="G29" s="73">
        <f t="shared" si="9"/>
        <v>0</v>
      </c>
      <c r="H29" s="73">
        <f t="shared" si="9"/>
        <v>0</v>
      </c>
      <c r="I29" s="73">
        <f t="shared" si="9"/>
        <v>0</v>
      </c>
      <c r="J29" s="73">
        <f t="shared" si="9"/>
        <v>0</v>
      </c>
      <c r="K29" s="73">
        <f t="shared" si="9"/>
        <v>0</v>
      </c>
      <c r="L29" s="73">
        <f t="shared" si="9"/>
        <v>0</v>
      </c>
      <c r="M29" s="73">
        <f t="shared" si="9"/>
        <v>0</v>
      </c>
      <c r="N29" s="73">
        <f t="shared" si="9"/>
        <v>0</v>
      </c>
      <c r="O29" s="73">
        <f t="shared" si="9"/>
        <v>0</v>
      </c>
      <c r="P29" s="73">
        <f t="shared" si="9"/>
        <v>0</v>
      </c>
    </row>
  </sheetData>
  <pageMargins left="0.15312500000000001" right="0.21145833333333333" top="1" bottom="1" header="0.5" footer="0.5"/>
  <pageSetup paperSize="9" scale="75" orientation="landscape" r:id="rId1"/>
  <headerFooter alignWithMargins="0">
    <oddHeader>&amp;LPríloha 7: Štandardné tabuľky - Cesty
&amp;"Arial,Tučné"&amp;12 09 Náklady na nehodovosť</oddHeader>
    <oddFooter>Strana &amp;P z &amp;N</oddFooter>
  </headerFooter>
  <ignoredErrors>
    <ignoredError sqref="D9 D19" formulaRange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</sheetPr>
  <dimension ref="B1:P26"/>
  <sheetViews>
    <sheetView zoomScaleNormal="100" workbookViewId="0">
      <selection activeCell="B1" sqref="B1"/>
    </sheetView>
  </sheetViews>
  <sheetFormatPr defaultRowHeight="11.25" x14ac:dyDescent="0.2"/>
  <cols>
    <col min="1" max="1" width="3.7109375" style="65" customWidth="1"/>
    <col min="2" max="2" width="33.7109375" style="65" customWidth="1"/>
    <col min="3" max="3" width="13.7109375" style="65" customWidth="1"/>
    <col min="4" max="6" width="5" style="65" bestFit="1" customWidth="1"/>
    <col min="7" max="16" width="5" style="65" customWidth="1"/>
    <col min="17" max="16384" width="9.140625" style="65"/>
  </cols>
  <sheetData>
    <row r="1" spans="2:16" x14ac:dyDescent="0.2">
      <c r="B1" s="180" t="s">
        <v>338</v>
      </c>
    </row>
    <row r="2" spans="2:16" x14ac:dyDescent="0.2">
      <c r="C2" s="66"/>
      <c r="D2" s="66" t="s">
        <v>13</v>
      </c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</row>
    <row r="3" spans="2:16" x14ac:dyDescent="0.2">
      <c r="B3" s="67" t="s">
        <v>160</v>
      </c>
      <c r="C3" s="67"/>
      <c r="D3" s="66">
        <v>1</v>
      </c>
      <c r="E3" s="66">
        <v>2</v>
      </c>
      <c r="F3" s="66">
        <v>3</v>
      </c>
      <c r="G3" s="66">
        <v>4</v>
      </c>
      <c r="H3" s="66">
        <v>5</v>
      </c>
      <c r="I3" s="66">
        <v>6</v>
      </c>
      <c r="J3" s="66">
        <v>7</v>
      </c>
      <c r="K3" s="66">
        <v>8</v>
      </c>
      <c r="L3" s="66">
        <v>9</v>
      </c>
      <c r="M3" s="66">
        <v>10</v>
      </c>
      <c r="N3" s="66">
        <v>11</v>
      </c>
      <c r="O3" s="66">
        <v>12</v>
      </c>
      <c r="P3" s="66">
        <v>13</v>
      </c>
    </row>
    <row r="4" spans="2:16" x14ac:dyDescent="0.2">
      <c r="B4" s="74" t="s">
        <v>66</v>
      </c>
      <c r="C4" s="74" t="s">
        <v>12</v>
      </c>
      <c r="D4" s="75">
        <v>2022</v>
      </c>
      <c r="E4" s="75">
        <f>$D$4+D3</f>
        <v>2023</v>
      </c>
      <c r="F4" s="75">
        <f>$D$4+E3</f>
        <v>2024</v>
      </c>
      <c r="G4" s="75">
        <f t="shared" ref="G4:P4" si="0">$D$4+F3</f>
        <v>2025</v>
      </c>
      <c r="H4" s="75">
        <f t="shared" si="0"/>
        <v>2026</v>
      </c>
      <c r="I4" s="75">
        <f t="shared" si="0"/>
        <v>2027</v>
      </c>
      <c r="J4" s="75">
        <f t="shared" si="0"/>
        <v>2028</v>
      </c>
      <c r="K4" s="75">
        <f t="shared" si="0"/>
        <v>2029</v>
      </c>
      <c r="L4" s="75">
        <f t="shared" si="0"/>
        <v>2030</v>
      </c>
      <c r="M4" s="75">
        <f t="shared" si="0"/>
        <v>2031</v>
      </c>
      <c r="N4" s="75">
        <f t="shared" si="0"/>
        <v>2032</v>
      </c>
      <c r="O4" s="75">
        <f t="shared" si="0"/>
        <v>2033</v>
      </c>
      <c r="P4" s="75">
        <f t="shared" si="0"/>
        <v>2034</v>
      </c>
    </row>
    <row r="5" spans="2:16" x14ac:dyDescent="0.2">
      <c r="B5" s="66" t="s">
        <v>157</v>
      </c>
      <c r="C5" s="68">
        <f>SUM(D5:P5)</f>
        <v>0</v>
      </c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</row>
    <row r="6" spans="2:16" x14ac:dyDescent="0.2">
      <c r="B6" s="66" t="s">
        <v>158</v>
      </c>
      <c r="C6" s="68">
        <f>SUM(D6:P6)</f>
        <v>0</v>
      </c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</row>
    <row r="7" spans="2:16" x14ac:dyDescent="0.2">
      <c r="B7" s="66" t="s">
        <v>161</v>
      </c>
      <c r="C7" s="68">
        <f>SUM(D7:P7)</f>
        <v>0</v>
      </c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</row>
    <row r="8" spans="2:16" x14ac:dyDescent="0.2">
      <c r="B8" s="67" t="s">
        <v>12</v>
      </c>
      <c r="C8" s="70">
        <f>SUM(D8:P8)</f>
        <v>0</v>
      </c>
      <c r="D8" s="70">
        <f>SUM(D5:D7)</f>
        <v>0</v>
      </c>
      <c r="E8" s="70">
        <f t="shared" ref="E8:P8" si="1">SUM(E5:E7)</f>
        <v>0</v>
      </c>
      <c r="F8" s="70">
        <f t="shared" si="1"/>
        <v>0</v>
      </c>
      <c r="G8" s="70">
        <f t="shared" si="1"/>
        <v>0</v>
      </c>
      <c r="H8" s="70">
        <f t="shared" si="1"/>
        <v>0</v>
      </c>
      <c r="I8" s="70">
        <f t="shared" si="1"/>
        <v>0</v>
      </c>
      <c r="J8" s="70">
        <f t="shared" si="1"/>
        <v>0</v>
      </c>
      <c r="K8" s="70">
        <f t="shared" si="1"/>
        <v>0</v>
      </c>
      <c r="L8" s="70">
        <f t="shared" si="1"/>
        <v>0</v>
      </c>
      <c r="M8" s="70">
        <f t="shared" si="1"/>
        <v>0</v>
      </c>
      <c r="N8" s="70">
        <f t="shared" si="1"/>
        <v>0</v>
      </c>
      <c r="O8" s="70">
        <f t="shared" si="1"/>
        <v>0</v>
      </c>
      <c r="P8" s="70">
        <f t="shared" si="1"/>
        <v>0</v>
      </c>
    </row>
    <row r="11" spans="2:16" x14ac:dyDescent="0.2">
      <c r="C11" s="66"/>
      <c r="D11" s="66" t="s">
        <v>13</v>
      </c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66"/>
      <c r="P11" s="66"/>
    </row>
    <row r="12" spans="2:16" x14ac:dyDescent="0.2">
      <c r="B12" s="67" t="s">
        <v>162</v>
      </c>
      <c r="C12" s="67"/>
      <c r="D12" s="71">
        <v>1</v>
      </c>
      <c r="E12" s="71">
        <v>2</v>
      </c>
      <c r="F12" s="71">
        <v>3</v>
      </c>
      <c r="G12" s="71">
        <v>4</v>
      </c>
      <c r="H12" s="71">
        <v>5</v>
      </c>
      <c r="I12" s="71">
        <v>6</v>
      </c>
      <c r="J12" s="71">
        <v>7</v>
      </c>
      <c r="K12" s="71">
        <v>8</v>
      </c>
      <c r="L12" s="71">
        <v>9</v>
      </c>
      <c r="M12" s="71">
        <v>10</v>
      </c>
      <c r="N12" s="71">
        <v>11</v>
      </c>
      <c r="O12" s="71">
        <v>12</v>
      </c>
      <c r="P12" s="71">
        <v>13</v>
      </c>
    </row>
    <row r="13" spans="2:16" x14ac:dyDescent="0.2">
      <c r="B13" s="74" t="s">
        <v>68</v>
      </c>
      <c r="C13" s="74" t="s">
        <v>12</v>
      </c>
      <c r="D13" s="76">
        <v>2022</v>
      </c>
      <c r="E13" s="76">
        <f>$D$4+D12</f>
        <v>2023</v>
      </c>
      <c r="F13" s="76">
        <f>$D$4+E12</f>
        <v>2024</v>
      </c>
      <c r="G13" s="76">
        <f t="shared" ref="G13:P13" si="2">$D$4+F12</f>
        <v>2025</v>
      </c>
      <c r="H13" s="76">
        <f t="shared" si="2"/>
        <v>2026</v>
      </c>
      <c r="I13" s="76">
        <f t="shared" si="2"/>
        <v>2027</v>
      </c>
      <c r="J13" s="76">
        <f t="shared" si="2"/>
        <v>2028</v>
      </c>
      <c r="K13" s="76">
        <f t="shared" si="2"/>
        <v>2029</v>
      </c>
      <c r="L13" s="76">
        <f t="shared" si="2"/>
        <v>2030</v>
      </c>
      <c r="M13" s="76">
        <f t="shared" si="2"/>
        <v>2031</v>
      </c>
      <c r="N13" s="76">
        <f t="shared" si="2"/>
        <v>2032</v>
      </c>
      <c r="O13" s="76">
        <f t="shared" si="2"/>
        <v>2033</v>
      </c>
      <c r="P13" s="76">
        <f t="shared" si="2"/>
        <v>2034</v>
      </c>
    </row>
    <row r="14" spans="2:16" x14ac:dyDescent="0.2">
      <c r="B14" s="66" t="s">
        <v>157</v>
      </c>
      <c r="C14" s="68">
        <f>SUM(D14:P14)</f>
        <v>0</v>
      </c>
      <c r="D14" s="69"/>
      <c r="E14" s="69"/>
      <c r="F14" s="69"/>
      <c r="G14" s="69"/>
      <c r="H14" s="69"/>
      <c r="I14" s="69"/>
      <c r="J14" s="69"/>
      <c r="K14" s="69"/>
      <c r="L14" s="69"/>
      <c r="M14" s="69"/>
      <c r="N14" s="69"/>
      <c r="O14" s="69"/>
      <c r="P14" s="69"/>
    </row>
    <row r="15" spans="2:16" x14ac:dyDescent="0.2">
      <c r="B15" s="66" t="s">
        <v>158</v>
      </c>
      <c r="C15" s="68">
        <f>SUM(D15:P15)</f>
        <v>0</v>
      </c>
      <c r="D15" s="69"/>
      <c r="E15" s="69"/>
      <c r="F15" s="69"/>
      <c r="G15" s="69"/>
      <c r="H15" s="69"/>
      <c r="I15" s="69"/>
      <c r="J15" s="69"/>
      <c r="K15" s="69"/>
      <c r="L15" s="69"/>
      <c r="M15" s="69"/>
      <c r="N15" s="69"/>
      <c r="O15" s="69"/>
      <c r="P15" s="69"/>
    </row>
    <row r="16" spans="2:16" x14ac:dyDescent="0.2">
      <c r="B16" s="66" t="s">
        <v>161</v>
      </c>
      <c r="C16" s="68">
        <f>SUM(D16:P16)</f>
        <v>0</v>
      </c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69"/>
    </row>
    <row r="17" spans="2:16" x14ac:dyDescent="0.2">
      <c r="B17" s="67" t="s">
        <v>70</v>
      </c>
      <c r="C17" s="70">
        <f>SUM(D17:P17)</f>
        <v>0</v>
      </c>
      <c r="D17" s="70">
        <f>SUM(D14:D16)</f>
        <v>0</v>
      </c>
      <c r="E17" s="70">
        <f t="shared" ref="E17:P17" si="3">SUM(E14:E16)</f>
        <v>0</v>
      </c>
      <c r="F17" s="70">
        <f t="shared" si="3"/>
        <v>0</v>
      </c>
      <c r="G17" s="70">
        <f t="shared" si="3"/>
        <v>0</v>
      </c>
      <c r="H17" s="70">
        <f t="shared" si="3"/>
        <v>0</v>
      </c>
      <c r="I17" s="70">
        <f t="shared" si="3"/>
        <v>0</v>
      </c>
      <c r="J17" s="70">
        <f t="shared" si="3"/>
        <v>0</v>
      </c>
      <c r="K17" s="70">
        <f t="shared" si="3"/>
        <v>0</v>
      </c>
      <c r="L17" s="70">
        <f t="shared" si="3"/>
        <v>0</v>
      </c>
      <c r="M17" s="70">
        <f t="shared" si="3"/>
        <v>0</v>
      </c>
      <c r="N17" s="70">
        <f t="shared" si="3"/>
        <v>0</v>
      </c>
      <c r="O17" s="70">
        <f t="shared" si="3"/>
        <v>0</v>
      </c>
      <c r="P17" s="70">
        <f t="shared" si="3"/>
        <v>0</v>
      </c>
    </row>
    <row r="20" spans="2:16" x14ac:dyDescent="0.2">
      <c r="C20" s="66"/>
      <c r="D20" s="66" t="s">
        <v>13</v>
      </c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66"/>
      <c r="P20" s="66"/>
    </row>
    <row r="21" spans="2:16" x14ac:dyDescent="0.2">
      <c r="B21" s="67" t="s">
        <v>163</v>
      </c>
      <c r="C21" s="67"/>
      <c r="D21" s="66">
        <v>1</v>
      </c>
      <c r="E21" s="66">
        <v>2</v>
      </c>
      <c r="F21" s="66">
        <v>3</v>
      </c>
      <c r="G21" s="66">
        <v>4</v>
      </c>
      <c r="H21" s="66">
        <v>5</v>
      </c>
      <c r="I21" s="66">
        <v>6</v>
      </c>
      <c r="J21" s="66">
        <v>7</v>
      </c>
      <c r="K21" s="66">
        <v>8</v>
      </c>
      <c r="L21" s="66">
        <v>9</v>
      </c>
      <c r="M21" s="66">
        <v>10</v>
      </c>
      <c r="N21" s="66">
        <v>11</v>
      </c>
      <c r="O21" s="66">
        <v>12</v>
      </c>
      <c r="P21" s="66">
        <v>13</v>
      </c>
    </row>
    <row r="22" spans="2:16" x14ac:dyDescent="0.2">
      <c r="B22" s="74" t="s">
        <v>156</v>
      </c>
      <c r="C22" s="74" t="s">
        <v>12</v>
      </c>
      <c r="D22" s="75">
        <f>D13</f>
        <v>2022</v>
      </c>
      <c r="E22" s="75">
        <f>E13</f>
        <v>2023</v>
      </c>
      <c r="F22" s="75">
        <f>F13</f>
        <v>2024</v>
      </c>
      <c r="G22" s="75">
        <f t="shared" ref="G22:P22" si="4">G13</f>
        <v>2025</v>
      </c>
      <c r="H22" s="75">
        <f t="shared" si="4"/>
        <v>2026</v>
      </c>
      <c r="I22" s="75">
        <f t="shared" si="4"/>
        <v>2027</v>
      </c>
      <c r="J22" s="75">
        <f t="shared" si="4"/>
        <v>2028</v>
      </c>
      <c r="K22" s="75">
        <f t="shared" si="4"/>
        <v>2029</v>
      </c>
      <c r="L22" s="75">
        <f t="shared" si="4"/>
        <v>2030</v>
      </c>
      <c r="M22" s="75">
        <f t="shared" si="4"/>
        <v>2031</v>
      </c>
      <c r="N22" s="75">
        <f t="shared" si="4"/>
        <v>2032</v>
      </c>
      <c r="O22" s="75">
        <f t="shared" si="4"/>
        <v>2033</v>
      </c>
      <c r="P22" s="75">
        <f t="shared" si="4"/>
        <v>2034</v>
      </c>
    </row>
    <row r="23" spans="2:16" x14ac:dyDescent="0.2">
      <c r="B23" s="66" t="s">
        <v>157</v>
      </c>
      <c r="C23" s="68">
        <f>SUM(D23:P23)</f>
        <v>0</v>
      </c>
      <c r="D23" s="72">
        <f>D5-D14</f>
        <v>0</v>
      </c>
      <c r="E23" s="72">
        <f t="shared" ref="E23:P23" si="5">E5-E14</f>
        <v>0</v>
      </c>
      <c r="F23" s="72">
        <f t="shared" si="5"/>
        <v>0</v>
      </c>
      <c r="G23" s="72">
        <f t="shared" si="5"/>
        <v>0</v>
      </c>
      <c r="H23" s="72">
        <f t="shared" si="5"/>
        <v>0</v>
      </c>
      <c r="I23" s="72">
        <f t="shared" si="5"/>
        <v>0</v>
      </c>
      <c r="J23" s="72">
        <f t="shared" si="5"/>
        <v>0</v>
      </c>
      <c r="K23" s="72">
        <f t="shared" si="5"/>
        <v>0</v>
      </c>
      <c r="L23" s="72">
        <f t="shared" si="5"/>
        <v>0</v>
      </c>
      <c r="M23" s="72">
        <f t="shared" si="5"/>
        <v>0</v>
      </c>
      <c r="N23" s="72">
        <f t="shared" si="5"/>
        <v>0</v>
      </c>
      <c r="O23" s="72">
        <f t="shared" si="5"/>
        <v>0</v>
      </c>
      <c r="P23" s="72">
        <f t="shared" si="5"/>
        <v>0</v>
      </c>
    </row>
    <row r="24" spans="2:16" x14ac:dyDescent="0.2">
      <c r="B24" s="66" t="s">
        <v>158</v>
      </c>
      <c r="C24" s="68">
        <f>SUM(D24:P24)</f>
        <v>0</v>
      </c>
      <c r="D24" s="72">
        <f>D6-D15</f>
        <v>0</v>
      </c>
      <c r="E24" s="72">
        <f t="shared" ref="E24:P24" si="6">E6-E15</f>
        <v>0</v>
      </c>
      <c r="F24" s="72">
        <f t="shared" si="6"/>
        <v>0</v>
      </c>
      <c r="G24" s="72">
        <f t="shared" si="6"/>
        <v>0</v>
      </c>
      <c r="H24" s="72">
        <f t="shared" si="6"/>
        <v>0</v>
      </c>
      <c r="I24" s="72">
        <f t="shared" si="6"/>
        <v>0</v>
      </c>
      <c r="J24" s="72">
        <f t="shared" si="6"/>
        <v>0</v>
      </c>
      <c r="K24" s="72">
        <f t="shared" si="6"/>
        <v>0</v>
      </c>
      <c r="L24" s="72">
        <f t="shared" si="6"/>
        <v>0</v>
      </c>
      <c r="M24" s="72">
        <f t="shared" si="6"/>
        <v>0</v>
      </c>
      <c r="N24" s="72">
        <f t="shared" si="6"/>
        <v>0</v>
      </c>
      <c r="O24" s="72">
        <f t="shared" si="6"/>
        <v>0</v>
      </c>
      <c r="P24" s="72">
        <f t="shared" si="6"/>
        <v>0</v>
      </c>
    </row>
    <row r="25" spans="2:16" ht="12" thickBot="1" x14ac:dyDescent="0.25">
      <c r="B25" s="66" t="s">
        <v>161</v>
      </c>
      <c r="C25" s="79">
        <v>0</v>
      </c>
      <c r="D25" s="72">
        <f>D7-D16</f>
        <v>0</v>
      </c>
      <c r="E25" s="72">
        <f t="shared" ref="E25:P25" si="7">E7-E16</f>
        <v>0</v>
      </c>
      <c r="F25" s="72">
        <f t="shared" si="7"/>
        <v>0</v>
      </c>
      <c r="G25" s="72">
        <f t="shared" si="7"/>
        <v>0</v>
      </c>
      <c r="H25" s="72">
        <f t="shared" si="7"/>
        <v>0</v>
      </c>
      <c r="I25" s="72">
        <f t="shared" si="7"/>
        <v>0</v>
      </c>
      <c r="J25" s="72">
        <f t="shared" si="7"/>
        <v>0</v>
      </c>
      <c r="K25" s="72">
        <f t="shared" si="7"/>
        <v>0</v>
      </c>
      <c r="L25" s="72">
        <f t="shared" si="7"/>
        <v>0</v>
      </c>
      <c r="M25" s="72">
        <f t="shared" si="7"/>
        <v>0</v>
      </c>
      <c r="N25" s="72">
        <f t="shared" si="7"/>
        <v>0</v>
      </c>
      <c r="O25" s="72">
        <f t="shared" si="7"/>
        <v>0</v>
      </c>
      <c r="P25" s="72">
        <f t="shared" si="7"/>
        <v>0</v>
      </c>
    </row>
    <row r="26" spans="2:16" ht="12" thickBot="1" x14ac:dyDescent="0.25">
      <c r="B26" s="77" t="s">
        <v>151</v>
      </c>
      <c r="C26" s="173">
        <f>SUM(D26:P26)</f>
        <v>0</v>
      </c>
      <c r="D26" s="78">
        <f>SUM(D23:D25)</f>
        <v>0</v>
      </c>
      <c r="E26" s="73">
        <f t="shared" ref="E26:P26" si="8">SUM(E23:E25)</f>
        <v>0</v>
      </c>
      <c r="F26" s="73">
        <f t="shared" si="8"/>
        <v>0</v>
      </c>
      <c r="G26" s="73">
        <f t="shared" si="8"/>
        <v>0</v>
      </c>
      <c r="H26" s="73">
        <f t="shared" si="8"/>
        <v>0</v>
      </c>
      <c r="I26" s="73">
        <f t="shared" si="8"/>
        <v>0</v>
      </c>
      <c r="J26" s="73">
        <f t="shared" si="8"/>
        <v>0</v>
      </c>
      <c r="K26" s="73">
        <f t="shared" si="8"/>
        <v>0</v>
      </c>
      <c r="L26" s="73">
        <f t="shared" si="8"/>
        <v>0</v>
      </c>
      <c r="M26" s="73">
        <f t="shared" si="8"/>
        <v>0</v>
      </c>
      <c r="N26" s="73">
        <f t="shared" si="8"/>
        <v>0</v>
      </c>
      <c r="O26" s="73">
        <f t="shared" si="8"/>
        <v>0</v>
      </c>
      <c r="P26" s="73">
        <f t="shared" si="8"/>
        <v>0</v>
      </c>
    </row>
  </sheetData>
  <pageMargins left="0.19687499999999999" right="0.19687499999999999" top="1" bottom="0.79479166666666667" header="0.5" footer="0.5"/>
  <pageSetup paperSize="9" scale="75" orientation="landscape" r:id="rId1"/>
  <headerFooter alignWithMargins="0">
    <oddHeader>&amp;LPríloha 7: Štandardné tabuľky - Cesty
&amp;"Arial,Tučné"&amp;12 10 Náklady na emisie</oddHeader>
    <oddFooter>Strana &amp;P z &amp;N</oddFooter>
  </headerFooter>
  <ignoredErrors>
    <ignoredError sqref="D8 D17" formulaRange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</sheetPr>
  <dimension ref="B2:P26"/>
  <sheetViews>
    <sheetView tabSelected="1" zoomScaleNormal="100" workbookViewId="0">
      <selection activeCell="C18" sqref="C18:C20"/>
    </sheetView>
  </sheetViews>
  <sheetFormatPr defaultRowHeight="11.25" x14ac:dyDescent="0.2"/>
  <cols>
    <col min="1" max="1" width="2.7109375" style="65" customWidth="1"/>
    <col min="2" max="2" width="46.85546875" style="65" bestFit="1" customWidth="1"/>
    <col min="3" max="3" width="14.28515625" style="65" customWidth="1"/>
    <col min="4" max="4" width="9.28515625" style="65" bestFit="1" customWidth="1"/>
    <col min="5" max="5" width="9.5703125" style="65" bestFit="1" customWidth="1"/>
    <col min="6" max="15" width="9.7109375" style="65" bestFit="1" customWidth="1"/>
    <col min="16" max="16" width="5" style="65" bestFit="1" customWidth="1"/>
    <col min="17" max="16384" width="9.140625" style="65"/>
  </cols>
  <sheetData>
    <row r="2" spans="2:15" x14ac:dyDescent="0.2">
      <c r="B2" s="80" t="s">
        <v>73</v>
      </c>
      <c r="C2" s="80"/>
      <c r="D2" s="66" t="s">
        <v>13</v>
      </c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</row>
    <row r="3" spans="2:15" x14ac:dyDescent="0.2">
      <c r="B3" s="67"/>
      <c r="C3" s="67"/>
      <c r="D3" s="71">
        <v>1</v>
      </c>
      <c r="E3" s="71">
        <v>2</v>
      </c>
      <c r="F3" s="71">
        <v>3</v>
      </c>
      <c r="G3" s="71">
        <v>4</v>
      </c>
      <c r="H3" s="71">
        <v>5</v>
      </c>
      <c r="I3" s="71">
        <v>6</v>
      </c>
      <c r="J3" s="71">
        <v>7</v>
      </c>
      <c r="K3" s="71">
        <v>8</v>
      </c>
      <c r="L3" s="71">
        <v>9</v>
      </c>
      <c r="M3" s="71">
        <v>10</v>
      </c>
      <c r="N3" s="71">
        <v>11</v>
      </c>
      <c r="O3" s="71">
        <v>12</v>
      </c>
    </row>
    <row r="4" spans="2:15" ht="22.5" x14ac:dyDescent="0.2">
      <c r="B4" s="74" t="s">
        <v>91</v>
      </c>
      <c r="C4" s="82" t="s">
        <v>74</v>
      </c>
      <c r="D4" s="76">
        <v>2022</v>
      </c>
      <c r="E4" s="76">
        <f>$D$4+D3</f>
        <v>2023</v>
      </c>
      <c r="F4" s="76">
        <f>$D$4+E3</f>
        <v>2024</v>
      </c>
      <c r="G4" s="76">
        <f t="shared" ref="G4:O4" si="0">$D$4+F3</f>
        <v>2025</v>
      </c>
      <c r="H4" s="76">
        <f t="shared" si="0"/>
        <v>2026</v>
      </c>
      <c r="I4" s="76">
        <f t="shared" si="0"/>
        <v>2027</v>
      </c>
      <c r="J4" s="76">
        <f t="shared" si="0"/>
        <v>2028</v>
      </c>
      <c r="K4" s="76">
        <f t="shared" si="0"/>
        <v>2029</v>
      </c>
      <c r="L4" s="76">
        <f t="shared" si="0"/>
        <v>2030</v>
      </c>
      <c r="M4" s="76">
        <f t="shared" si="0"/>
        <v>2031</v>
      </c>
      <c r="N4" s="76">
        <f t="shared" si="0"/>
        <v>2032</v>
      </c>
      <c r="O4" s="76">
        <f t="shared" si="0"/>
        <v>2033</v>
      </c>
    </row>
    <row r="5" spans="2:15" x14ac:dyDescent="0.2">
      <c r="B5" s="66" t="s">
        <v>22</v>
      </c>
      <c r="C5" s="81">
        <f>D5</f>
        <v>17995099.003921188</v>
      </c>
      <c r="D5" s="72">
        <f>'01 Investičné náklady'!D52</f>
        <v>17995099.003921188</v>
      </c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</row>
    <row r="6" spans="2:15" x14ac:dyDescent="0.2">
      <c r="B6" s="66" t="s">
        <v>20</v>
      </c>
      <c r="C6" s="81">
        <f>SUMPRODUCT(D6:O6,D24:O24)</f>
        <v>150547755.81367701</v>
      </c>
      <c r="D6" s="72"/>
      <c r="E6" s="72">
        <f>'03 Prevádzkové výdavky'!E25*(Parametre!$D$75*Parametre!$C$62+Parametre!$E$75*Parametre!$C$63+Parametre!$F$75*Parametre!$C$64)</f>
        <v>27855554.514145982</v>
      </c>
      <c r="F6" s="72">
        <f>'03 Prevádzkové výdavky'!F25*(Parametre!$D$75*Parametre!$C$62+Parametre!$E$75*Parametre!$C$63+Parametre!$F$75*Parametre!$C$64)</f>
        <v>27739576.734572764</v>
      </c>
      <c r="G6" s="72">
        <f>'03 Prevádzkové výdavky'!G25*(Parametre!$D$75*Parametre!$C$62+Parametre!$E$75*Parametre!$C$63+Parametre!$F$75*Parametre!$C$64)</f>
        <v>27311773.089912005</v>
      </c>
      <c r="H6" s="72">
        <f>'03 Prevádzkové výdavky'!H25*(Parametre!$D$75*Parametre!$C$62+Parametre!$E$75*Parametre!$C$63+Parametre!$F$75*Parametre!$C$64)</f>
        <v>27001536.617371742</v>
      </c>
      <c r="I6" s="72">
        <f>'03 Prevádzkové výdavky'!I25*(Parametre!$D$75*Parametre!$C$62+Parametre!$E$75*Parametre!$C$63+Parametre!$F$75*Parametre!$C$64)</f>
        <v>26488355.835205838</v>
      </c>
      <c r="J6" s="72">
        <f>'03 Prevádzkové výdavky'!J25*(Parametre!$D$75*Parametre!$C$62+Parametre!$E$75*Parametre!$C$63+Parametre!$F$75*Parametre!$C$64)</f>
        <v>0</v>
      </c>
      <c r="K6" s="72">
        <f>'03 Prevádzkové výdavky'!K25*(Parametre!$D$75*Parametre!$C$62+Parametre!$E$75*Parametre!$C$63+Parametre!$F$75*Parametre!$C$64)</f>
        <v>0</v>
      </c>
      <c r="L6" s="72">
        <f>'03 Prevádzkové výdavky'!L25*(Parametre!$D$75*Parametre!$C$62+Parametre!$E$75*Parametre!$C$63+Parametre!$F$75*Parametre!$C$64)</f>
        <v>0</v>
      </c>
      <c r="M6" s="72">
        <f>'03 Prevádzkové výdavky'!M25*(Parametre!$D$75*Parametre!$C$62+Parametre!$E$75*Parametre!$C$63+Parametre!$F$75*Parametre!$C$64)</f>
        <v>0</v>
      </c>
      <c r="N6" s="72">
        <f>'03 Prevádzkové výdavky'!N25*(Parametre!$D$75*Parametre!$C$62+Parametre!$E$75*Parametre!$C$63+Parametre!$F$75*Parametre!$C$64)</f>
        <v>0</v>
      </c>
      <c r="O6" s="72">
        <f>'03 Prevádzkové výdavky'!O25*(Parametre!$D$75*Parametre!$C$62+Parametre!$E$75*Parametre!$C$63+Parametre!$F$75*Parametre!$C$64)</f>
        <v>0</v>
      </c>
    </row>
    <row r="7" spans="2:15" s="179" customFormat="1" x14ac:dyDescent="0.2">
      <c r="B7" s="177" t="s">
        <v>336</v>
      </c>
      <c r="C7" s="178">
        <f>SUMPRODUCT(D7:O7,D24:O24)</f>
        <v>30619416.565174501</v>
      </c>
      <c r="D7" s="178">
        <f>-'07 Ocenenie času'!D33</f>
        <v>1767024</v>
      </c>
      <c r="E7" s="178">
        <f>-'07 Ocenenie času'!E33</f>
        <v>5221555.92</v>
      </c>
      <c r="F7" s="178">
        <f>-'07 Ocenenie času'!F33</f>
        <v>5221555.92</v>
      </c>
      <c r="G7" s="178">
        <f>-'07 Ocenenie času'!G33</f>
        <v>5221555.92</v>
      </c>
      <c r="H7" s="178">
        <f>-'07 Ocenenie času'!H33</f>
        <v>5221555.92</v>
      </c>
      <c r="I7" s="178">
        <f>-'07 Ocenenie času'!I33</f>
        <v>5221555.92</v>
      </c>
      <c r="J7" s="178">
        <f>-'07 Ocenenie času'!J33</f>
        <v>0</v>
      </c>
      <c r="K7" s="178">
        <f>-'07 Ocenenie času'!K33</f>
        <v>0</v>
      </c>
      <c r="L7" s="178">
        <f>-'07 Ocenenie času'!L33</f>
        <v>0</v>
      </c>
      <c r="M7" s="178">
        <f>-'07 Ocenenie času'!M33</f>
        <v>0</v>
      </c>
      <c r="N7" s="178">
        <f>-'07 Ocenenie času'!N33</f>
        <v>0</v>
      </c>
      <c r="O7" s="178">
        <f>-'07 Ocenenie času'!O33</f>
        <v>0</v>
      </c>
    </row>
    <row r="8" spans="2:15" x14ac:dyDescent="0.2">
      <c r="B8" s="84" t="s">
        <v>75</v>
      </c>
      <c r="C8" s="86">
        <f>SUM(C5:C7)</f>
        <v>199162271.38277268</v>
      </c>
      <c r="D8" s="86">
        <f>SUM(D5:D7)</f>
        <v>19762123.003921188</v>
      </c>
      <c r="E8" s="86">
        <f t="shared" ref="E8:O8" si="1">SUM(E5:E7)</f>
        <v>33077110.43414598</v>
      </c>
      <c r="F8" s="86">
        <f t="shared" si="1"/>
        <v>32961132.654572763</v>
      </c>
      <c r="G8" s="86">
        <f t="shared" si="1"/>
        <v>32533329.009912007</v>
      </c>
      <c r="H8" s="86">
        <f t="shared" si="1"/>
        <v>32223092.53737174</v>
      </c>
      <c r="I8" s="86">
        <f t="shared" si="1"/>
        <v>31709911.75520584</v>
      </c>
      <c r="J8" s="86">
        <f t="shared" si="1"/>
        <v>0</v>
      </c>
      <c r="K8" s="86">
        <f t="shared" si="1"/>
        <v>0</v>
      </c>
      <c r="L8" s="86">
        <f t="shared" si="1"/>
        <v>0</v>
      </c>
      <c r="M8" s="86">
        <f t="shared" si="1"/>
        <v>0</v>
      </c>
      <c r="N8" s="86">
        <f t="shared" si="1"/>
        <v>0</v>
      </c>
      <c r="O8" s="86">
        <f t="shared" si="1"/>
        <v>0</v>
      </c>
    </row>
    <row r="9" spans="2:15" s="179" customFormat="1" x14ac:dyDescent="0.2">
      <c r="B9" s="177" t="s">
        <v>337</v>
      </c>
      <c r="C9" s="178">
        <f>SUMPRODUCT(D9:O9,D24:O24)</f>
        <v>1388947130.6977289</v>
      </c>
      <c r="D9" s="178">
        <f>'04 Príjmy'!D15</f>
        <v>0</v>
      </c>
      <c r="E9" s="178">
        <f>'04 Príjmy'!E15</f>
        <v>241807585.02806833</v>
      </c>
      <c r="F9" s="178">
        <f>'04 Príjmy'!F15</f>
        <v>246101013.80952594</v>
      </c>
      <c r="G9" s="178">
        <f>'04 Príjmy'!G15</f>
        <v>250555212.41166478</v>
      </c>
      <c r="H9" s="178">
        <f>'04 Príjmy'!H15</f>
        <v>256072390.1231077</v>
      </c>
      <c r="I9" s="178">
        <f>'04 Príjmy'!I15</f>
        <v>260023803.96607187</v>
      </c>
      <c r="J9" s="178">
        <f>'04 Príjmy'!J15</f>
        <v>0</v>
      </c>
      <c r="K9" s="178">
        <f>'04 Príjmy'!K15</f>
        <v>0</v>
      </c>
      <c r="L9" s="178">
        <f>'04 Príjmy'!L15</f>
        <v>0</v>
      </c>
      <c r="M9" s="178">
        <f>'04 Príjmy'!M15</f>
        <v>0</v>
      </c>
      <c r="N9" s="178">
        <f>'04 Príjmy'!N15</f>
        <v>0</v>
      </c>
      <c r="O9" s="178">
        <f>'04 Príjmy'!O15</f>
        <v>0</v>
      </c>
    </row>
    <row r="10" spans="2:15" x14ac:dyDescent="0.2">
      <c r="B10" s="66" t="s">
        <v>44</v>
      </c>
      <c r="C10" s="81">
        <v>0</v>
      </c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</row>
    <row r="11" spans="2:15" x14ac:dyDescent="0.2">
      <c r="B11" s="66" t="s">
        <v>76</v>
      </c>
      <c r="C11" s="81">
        <v>0</v>
      </c>
      <c r="D11" s="72"/>
      <c r="E11" s="72"/>
      <c r="F11" s="72"/>
      <c r="G11" s="72"/>
      <c r="H11" s="72"/>
      <c r="I11" s="72"/>
      <c r="J11" s="72"/>
      <c r="K11" s="72"/>
      <c r="L11" s="72"/>
      <c r="M11" s="72"/>
      <c r="N11" s="72"/>
      <c r="O11" s="72"/>
    </row>
    <row r="12" spans="2:15" x14ac:dyDescent="0.2">
      <c r="B12" s="66" t="s">
        <v>77</v>
      </c>
      <c r="C12" s="81">
        <v>0</v>
      </c>
      <c r="D12" s="72"/>
      <c r="E12" s="72"/>
      <c r="F12" s="72"/>
      <c r="G12" s="72"/>
      <c r="H12" s="72"/>
      <c r="I12" s="72"/>
      <c r="J12" s="72"/>
      <c r="K12" s="72"/>
      <c r="L12" s="72"/>
      <c r="M12" s="72"/>
      <c r="N12" s="72"/>
      <c r="O12" s="72"/>
    </row>
    <row r="13" spans="2:15" x14ac:dyDescent="0.2">
      <c r="B13" s="66" t="s">
        <v>164</v>
      </c>
      <c r="C13" s="81">
        <v>0</v>
      </c>
      <c r="D13" s="72"/>
      <c r="E13" s="72"/>
      <c r="F13" s="72"/>
      <c r="G13" s="72"/>
      <c r="H13" s="72"/>
      <c r="I13" s="72"/>
      <c r="J13" s="72"/>
      <c r="K13" s="72"/>
      <c r="L13" s="72"/>
      <c r="M13" s="72"/>
      <c r="N13" s="72"/>
      <c r="O13" s="72"/>
    </row>
    <row r="14" spans="2:15" x14ac:dyDescent="0.2">
      <c r="B14" s="84" t="s">
        <v>78</v>
      </c>
      <c r="C14" s="85">
        <f>SUM(C9:C13)</f>
        <v>1388947130.6977289</v>
      </c>
      <c r="D14" s="86">
        <f>SUM(D9:D13)</f>
        <v>0</v>
      </c>
      <c r="E14" s="86">
        <f t="shared" ref="E14:O14" si="2">SUM(E9:E13)</f>
        <v>241807585.02806833</v>
      </c>
      <c r="F14" s="86">
        <f t="shared" si="2"/>
        <v>246101013.80952594</v>
      </c>
      <c r="G14" s="86">
        <f t="shared" si="2"/>
        <v>250555212.41166478</v>
      </c>
      <c r="H14" s="86">
        <f t="shared" si="2"/>
        <v>256072390.1231077</v>
      </c>
      <c r="I14" s="86">
        <f t="shared" si="2"/>
        <v>260023803.96607187</v>
      </c>
      <c r="J14" s="86">
        <f t="shared" si="2"/>
        <v>0</v>
      </c>
      <c r="K14" s="86">
        <f t="shared" si="2"/>
        <v>0</v>
      </c>
      <c r="L14" s="86">
        <f t="shared" si="2"/>
        <v>0</v>
      </c>
      <c r="M14" s="86">
        <f t="shared" si="2"/>
        <v>0</v>
      </c>
      <c r="N14" s="86">
        <f t="shared" si="2"/>
        <v>0</v>
      </c>
      <c r="O14" s="86">
        <f t="shared" si="2"/>
        <v>0</v>
      </c>
    </row>
    <row r="15" spans="2:15" x14ac:dyDescent="0.2">
      <c r="B15" s="66" t="s">
        <v>24</v>
      </c>
      <c r="C15" s="81">
        <v>0</v>
      </c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69">
        <v>0</v>
      </c>
    </row>
    <row r="16" spans="2:15" x14ac:dyDescent="0.2">
      <c r="B16" s="143" t="s">
        <v>92</v>
      </c>
      <c r="C16" s="144">
        <f t="shared" ref="C16:O16" si="3">C14-C8</f>
        <v>1189784859.3149562</v>
      </c>
      <c r="D16" s="145">
        <f t="shared" si="3"/>
        <v>-19762123.003921188</v>
      </c>
      <c r="E16" s="145">
        <f t="shared" si="3"/>
        <v>208730474.59392235</v>
      </c>
      <c r="F16" s="145">
        <f t="shared" si="3"/>
        <v>213139881.15495318</v>
      </c>
      <c r="G16" s="145">
        <f t="shared" si="3"/>
        <v>218021883.40175277</v>
      </c>
      <c r="H16" s="145">
        <f t="shared" si="3"/>
        <v>223849297.58573598</v>
      </c>
      <c r="I16" s="145">
        <f t="shared" si="3"/>
        <v>228313892.21086603</v>
      </c>
      <c r="J16" s="145">
        <f t="shared" si="3"/>
        <v>0</v>
      </c>
      <c r="K16" s="145">
        <f t="shared" si="3"/>
        <v>0</v>
      </c>
      <c r="L16" s="145">
        <f t="shared" si="3"/>
        <v>0</v>
      </c>
      <c r="M16" s="145">
        <f t="shared" si="3"/>
        <v>0</v>
      </c>
      <c r="N16" s="145">
        <f t="shared" si="3"/>
        <v>0</v>
      </c>
      <c r="O16" s="145">
        <f t="shared" si="3"/>
        <v>0</v>
      </c>
    </row>
    <row r="17" spans="2:16" ht="12" thickBot="1" x14ac:dyDescent="0.25"/>
    <row r="18" spans="2:16" ht="12" thickBot="1" x14ac:dyDescent="0.25">
      <c r="B18" s="83" t="s">
        <v>93</v>
      </c>
      <c r="C18" s="146">
        <f>NPV(5%,D16:O16)</f>
        <v>879752133.74106324</v>
      </c>
      <c r="D18" s="65" t="s">
        <v>0</v>
      </c>
    </row>
    <row r="19" spans="2:16" ht="12" thickBot="1" x14ac:dyDescent="0.25">
      <c r="B19" s="83" t="s">
        <v>94</v>
      </c>
      <c r="C19" s="147">
        <f>IRR(D16:O16)</f>
        <v>10.583398782325785</v>
      </c>
    </row>
    <row r="20" spans="2:16" ht="12" thickBot="1" x14ac:dyDescent="0.25">
      <c r="B20" s="83" t="s">
        <v>1</v>
      </c>
      <c r="C20" s="148">
        <f>C14/C8</f>
        <v>6.9739470284926224</v>
      </c>
    </row>
    <row r="24" spans="2:16" s="184" customFormat="1" x14ac:dyDescent="0.2">
      <c r="B24" s="184" t="s">
        <v>340</v>
      </c>
      <c r="C24" s="187">
        <v>0.05</v>
      </c>
      <c r="D24" s="185">
        <v>1</v>
      </c>
      <c r="E24" s="185">
        <f>(1+$C24)^(D4-$D4)</f>
        <v>1</v>
      </c>
      <c r="F24" s="185">
        <f t="shared" ref="F24:O24" si="4">(1+$C24)^(E4-$D4)</f>
        <v>1.05</v>
      </c>
      <c r="G24" s="185">
        <f t="shared" si="4"/>
        <v>1.1025</v>
      </c>
      <c r="H24" s="185">
        <f t="shared" si="4"/>
        <v>1.1576250000000001</v>
      </c>
      <c r="I24" s="185">
        <f t="shared" si="4"/>
        <v>1.21550625</v>
      </c>
      <c r="J24" s="185">
        <f t="shared" si="4"/>
        <v>1.2762815625000001</v>
      </c>
      <c r="K24" s="185">
        <f t="shared" si="4"/>
        <v>1.340095640625</v>
      </c>
      <c r="L24" s="185">
        <f t="shared" si="4"/>
        <v>1.4071004226562502</v>
      </c>
      <c r="M24" s="185">
        <f t="shared" si="4"/>
        <v>1.4774554437890626</v>
      </c>
      <c r="N24" s="185">
        <f t="shared" si="4"/>
        <v>1.5513282159785158</v>
      </c>
      <c r="O24" s="185">
        <f t="shared" si="4"/>
        <v>1.6288946267774416</v>
      </c>
      <c r="P24" s="185"/>
    </row>
    <row r="25" spans="2:16" x14ac:dyDescent="0.2">
      <c r="B25" s="184"/>
      <c r="C25" s="184" t="s">
        <v>343</v>
      </c>
      <c r="D25" s="184" t="s">
        <v>342</v>
      </c>
    </row>
    <row r="26" spans="2:16" x14ac:dyDescent="0.2">
      <c r="B26" s="184" t="s">
        <v>341</v>
      </c>
      <c r="C26" s="184">
        <f>(Parametre!D72*Parametre!C62+Parametre!E72*Parametre!C63+Parametre!F72*Parametre!C64)</f>
        <v>0.90500000000000003</v>
      </c>
      <c r="D26" s="184">
        <f>(Parametre!$D$75*Parametre!$C$62+Parametre!$E$75*Parametre!$C$63+Parametre!$F$75*Parametre!$C$64)</f>
        <v>0.88000000000000012</v>
      </c>
    </row>
  </sheetData>
  <pageMargins left="0.19687499999999999" right="0.19687499999999999" top="1" bottom="1" header="0.5" footer="0.5"/>
  <pageSetup scale="75" orientation="landscape" r:id="rId1"/>
  <headerFooter alignWithMargins="0">
    <oddHeader>&amp;LPríloha 7: Štandardné tabuľky - Cesty
&amp;"Arial,Tučné"&amp;12 11 Ekonomická analýza</oddHeader>
    <oddFooter>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FF"/>
  </sheetPr>
  <dimension ref="B2:R52"/>
  <sheetViews>
    <sheetView topLeftCell="A16" zoomScaleNormal="100" workbookViewId="0">
      <selection activeCell="C49" sqref="C49:D52"/>
    </sheetView>
  </sheetViews>
  <sheetFormatPr defaultRowHeight="11.25" x14ac:dyDescent="0.2"/>
  <cols>
    <col min="1" max="1" width="2.7109375" style="3" customWidth="1"/>
    <col min="2" max="2" width="64.5703125" style="3" customWidth="1"/>
    <col min="3" max="3" width="11.7109375" style="3" customWidth="1"/>
    <col min="4" max="4" width="9.5703125" style="3" bestFit="1" customWidth="1"/>
    <col min="5" max="7" width="5.5703125" style="3" bestFit="1" customWidth="1"/>
    <col min="8" max="14" width="5.5703125" style="3" customWidth="1"/>
    <col min="15" max="15" width="6.140625" style="3" bestFit="1" customWidth="1"/>
    <col min="16" max="16" width="36.42578125" style="3" customWidth="1"/>
    <col min="17" max="16384" width="9.140625" style="3"/>
  </cols>
  <sheetData>
    <row r="2" spans="2:15" x14ac:dyDescent="0.2">
      <c r="B2" s="4"/>
      <c r="C2" s="4"/>
      <c r="D2" s="4" t="s">
        <v>13</v>
      </c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2:15" x14ac:dyDescent="0.2">
      <c r="B3" s="5"/>
      <c r="C3" s="5"/>
      <c r="D3" s="6">
        <v>1</v>
      </c>
      <c r="E3" s="6">
        <v>2</v>
      </c>
      <c r="F3" s="6">
        <v>3</v>
      </c>
      <c r="G3" s="6">
        <v>4</v>
      </c>
      <c r="H3" s="6">
        <v>5</v>
      </c>
      <c r="I3" s="6">
        <v>6</v>
      </c>
      <c r="J3" s="6">
        <v>7</v>
      </c>
      <c r="K3" s="6">
        <v>8</v>
      </c>
      <c r="L3" s="6">
        <v>9</v>
      </c>
      <c r="M3" s="6">
        <v>10</v>
      </c>
      <c r="N3" s="6">
        <v>11</v>
      </c>
      <c r="O3" s="6">
        <v>12</v>
      </c>
    </row>
    <row r="4" spans="2:15" x14ac:dyDescent="0.2">
      <c r="B4" s="7" t="s">
        <v>90</v>
      </c>
      <c r="C4" s="7" t="s">
        <v>12</v>
      </c>
      <c r="D4" s="8">
        <v>2022</v>
      </c>
      <c r="E4" s="8">
        <f>$D$4+D3</f>
        <v>2023</v>
      </c>
      <c r="F4" s="8">
        <f>$D$4+E3</f>
        <v>2024</v>
      </c>
      <c r="G4" s="8">
        <f>$D$4+F3</f>
        <v>2025</v>
      </c>
      <c r="H4" s="8">
        <f t="shared" ref="H4:O4" si="0">$D$4+G3</f>
        <v>2026</v>
      </c>
      <c r="I4" s="8">
        <f t="shared" si="0"/>
        <v>2027</v>
      </c>
      <c r="J4" s="8">
        <f t="shared" si="0"/>
        <v>2028</v>
      </c>
      <c r="K4" s="8">
        <f t="shared" si="0"/>
        <v>2029</v>
      </c>
      <c r="L4" s="8">
        <f t="shared" si="0"/>
        <v>2030</v>
      </c>
      <c r="M4" s="8">
        <f t="shared" si="0"/>
        <v>2031</v>
      </c>
      <c r="N4" s="8">
        <f t="shared" si="0"/>
        <v>2032</v>
      </c>
      <c r="O4" s="8">
        <f t="shared" si="0"/>
        <v>2033</v>
      </c>
    </row>
    <row r="5" spans="2:15" x14ac:dyDescent="0.2">
      <c r="B5" s="4" t="s">
        <v>98</v>
      </c>
      <c r="C5" s="9">
        <f t="shared" ref="C5:C26" si="1">SUM(D5:O5)</f>
        <v>0</v>
      </c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</row>
    <row r="6" spans="2:15" x14ac:dyDescent="0.2">
      <c r="B6" s="4" t="s">
        <v>99</v>
      </c>
      <c r="C6" s="9">
        <f t="shared" si="1"/>
        <v>0</v>
      </c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</row>
    <row r="7" spans="2:15" x14ac:dyDescent="0.2">
      <c r="B7" s="4" t="s">
        <v>85</v>
      </c>
      <c r="C7" s="9">
        <f t="shared" si="1"/>
        <v>0</v>
      </c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</row>
    <row r="8" spans="2:15" x14ac:dyDescent="0.2">
      <c r="B8" s="4" t="s">
        <v>83</v>
      </c>
      <c r="C8" s="9">
        <f t="shared" si="1"/>
        <v>0</v>
      </c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</row>
    <row r="9" spans="2:15" x14ac:dyDescent="0.2">
      <c r="B9" s="4" t="s">
        <v>106</v>
      </c>
      <c r="C9" s="9">
        <f t="shared" si="1"/>
        <v>0</v>
      </c>
      <c r="D9" s="11">
        <f t="shared" ref="D9:O9" si="2">SUM(D10:D18)</f>
        <v>0</v>
      </c>
      <c r="E9" s="11">
        <f t="shared" si="2"/>
        <v>0</v>
      </c>
      <c r="F9" s="11">
        <f t="shared" si="2"/>
        <v>0</v>
      </c>
      <c r="G9" s="11">
        <f t="shared" si="2"/>
        <v>0</v>
      </c>
      <c r="H9" s="11">
        <f t="shared" si="2"/>
        <v>0</v>
      </c>
      <c r="I9" s="11">
        <f t="shared" si="2"/>
        <v>0</v>
      </c>
      <c r="J9" s="11">
        <f t="shared" si="2"/>
        <v>0</v>
      </c>
      <c r="K9" s="11">
        <f t="shared" si="2"/>
        <v>0</v>
      </c>
      <c r="L9" s="11">
        <f t="shared" si="2"/>
        <v>0</v>
      </c>
      <c r="M9" s="11">
        <f t="shared" si="2"/>
        <v>0</v>
      </c>
      <c r="N9" s="11">
        <f t="shared" si="2"/>
        <v>0</v>
      </c>
      <c r="O9" s="11">
        <f t="shared" si="2"/>
        <v>0</v>
      </c>
    </row>
    <row r="10" spans="2:15" x14ac:dyDescent="0.2">
      <c r="B10" s="48" t="s">
        <v>50</v>
      </c>
      <c r="C10" s="46">
        <f t="shared" si="1"/>
        <v>0</v>
      </c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</row>
    <row r="11" spans="2:15" x14ac:dyDescent="0.2">
      <c r="B11" s="48" t="s">
        <v>51</v>
      </c>
      <c r="C11" s="46">
        <f t="shared" si="1"/>
        <v>0</v>
      </c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</row>
    <row r="12" spans="2:15" x14ac:dyDescent="0.2">
      <c r="B12" s="48" t="s">
        <v>107</v>
      </c>
      <c r="C12" s="46">
        <f t="shared" si="1"/>
        <v>0</v>
      </c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</row>
    <row r="13" spans="2:15" x14ac:dyDescent="0.2">
      <c r="B13" s="48" t="s">
        <v>108</v>
      </c>
      <c r="C13" s="46">
        <f t="shared" si="1"/>
        <v>0</v>
      </c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</row>
    <row r="14" spans="2:15" x14ac:dyDescent="0.2">
      <c r="B14" s="48" t="s">
        <v>52</v>
      </c>
      <c r="C14" s="46">
        <f t="shared" si="1"/>
        <v>0</v>
      </c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</row>
    <row r="15" spans="2:15" x14ac:dyDescent="0.2">
      <c r="B15" s="48" t="s">
        <v>61</v>
      </c>
      <c r="C15" s="46">
        <f t="shared" si="1"/>
        <v>0</v>
      </c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</row>
    <row r="16" spans="2:15" x14ac:dyDescent="0.2">
      <c r="B16" s="48" t="s">
        <v>62</v>
      </c>
      <c r="C16" s="46">
        <f t="shared" si="1"/>
        <v>0</v>
      </c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</row>
    <row r="17" spans="2:18" x14ac:dyDescent="0.2">
      <c r="B17" s="48" t="s">
        <v>79</v>
      </c>
      <c r="C17" s="46">
        <f t="shared" si="1"/>
        <v>0</v>
      </c>
      <c r="D17" s="47"/>
      <c r="E17" s="47"/>
      <c r="F17" s="47"/>
      <c r="G17" s="188"/>
      <c r="H17" s="47"/>
      <c r="I17" s="47"/>
      <c r="J17" s="47"/>
      <c r="K17" s="47"/>
      <c r="L17" s="47"/>
      <c r="M17" s="47"/>
      <c r="N17" s="47"/>
      <c r="O17" s="47"/>
    </row>
    <row r="18" spans="2:18" x14ac:dyDescent="0.2">
      <c r="B18" s="48" t="s">
        <v>109</v>
      </c>
      <c r="C18" s="46">
        <f t="shared" si="1"/>
        <v>0</v>
      </c>
      <c r="D18" s="47"/>
      <c r="E18" s="47"/>
      <c r="F18" s="47"/>
      <c r="G18" s="47"/>
      <c r="H18" s="47"/>
      <c r="I18" s="47"/>
      <c r="J18" s="47"/>
      <c r="K18" s="47"/>
      <c r="L18" s="47"/>
      <c r="M18" s="47"/>
      <c r="N18" s="47"/>
      <c r="O18" s="47"/>
    </row>
    <row r="19" spans="2:18" x14ac:dyDescent="0.2">
      <c r="B19" s="4" t="s">
        <v>63</v>
      </c>
      <c r="C19" s="9">
        <f t="shared" si="1"/>
        <v>14471165.075184001</v>
      </c>
      <c r="D19" s="10">
        <f>[1]Vstupy_CBA!$B$6</f>
        <v>14471165.075184001</v>
      </c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</row>
    <row r="20" spans="2:18" x14ac:dyDescent="0.2">
      <c r="B20" s="4" t="s">
        <v>84</v>
      </c>
      <c r="C20" s="9">
        <f t="shared" si="1"/>
        <v>848438.42026600009</v>
      </c>
      <c r="D20" s="10">
        <f>[1]Vstupy_CBA!$B$7</f>
        <v>848438.42026600009</v>
      </c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</row>
    <row r="21" spans="2:18" x14ac:dyDescent="0.2">
      <c r="B21" s="4" t="s">
        <v>110</v>
      </c>
      <c r="C21" s="9">
        <f t="shared" si="1"/>
        <v>4695997.545888938</v>
      </c>
      <c r="D21" s="10">
        <f>[1]Vstupy_CBA!$B$8</f>
        <v>4695997.545888938</v>
      </c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</row>
    <row r="22" spans="2:18" s="14" customFormat="1" x14ac:dyDescent="0.2">
      <c r="B22" s="12" t="s">
        <v>102</v>
      </c>
      <c r="C22" s="13">
        <f t="shared" si="1"/>
        <v>20015601.041338939</v>
      </c>
      <c r="D22" s="13">
        <f t="shared" ref="D22:O22" si="3">SUM(D5:D9,D19:D21)</f>
        <v>20015601.041338939</v>
      </c>
      <c r="E22" s="13">
        <f t="shared" si="3"/>
        <v>0</v>
      </c>
      <c r="F22" s="13">
        <f t="shared" si="3"/>
        <v>0</v>
      </c>
      <c r="G22" s="13">
        <f t="shared" si="3"/>
        <v>0</v>
      </c>
      <c r="H22" s="13">
        <f t="shared" si="3"/>
        <v>0</v>
      </c>
      <c r="I22" s="13">
        <f t="shared" si="3"/>
        <v>0</v>
      </c>
      <c r="J22" s="13">
        <f t="shared" si="3"/>
        <v>0</v>
      </c>
      <c r="K22" s="13">
        <f t="shared" si="3"/>
        <v>0</v>
      </c>
      <c r="L22" s="13">
        <f t="shared" si="3"/>
        <v>0</v>
      </c>
      <c r="M22" s="13">
        <f t="shared" si="3"/>
        <v>0</v>
      </c>
      <c r="N22" s="13">
        <f t="shared" si="3"/>
        <v>0</v>
      </c>
      <c r="O22" s="13">
        <f t="shared" si="3"/>
        <v>0</v>
      </c>
      <c r="R22" s="3"/>
    </row>
    <row r="23" spans="2:18" x14ac:dyDescent="0.2">
      <c r="B23" s="4" t="s">
        <v>101</v>
      </c>
      <c r="C23" s="9">
        <f t="shared" si="1"/>
        <v>9125084.513978634</v>
      </c>
      <c r="D23" s="10">
        <f>[1]Vstupy_CBA!$B$10</f>
        <v>9125084.513978634</v>
      </c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</row>
    <row r="24" spans="2:18" x14ac:dyDescent="0.2">
      <c r="B24" s="12" t="s">
        <v>100</v>
      </c>
      <c r="C24" s="15">
        <f t="shared" si="1"/>
        <v>29140685.555317573</v>
      </c>
      <c r="D24" s="15">
        <f t="shared" ref="D24:O24" si="4">SUM(D22:D23)</f>
        <v>29140685.555317573</v>
      </c>
      <c r="E24" s="15">
        <f t="shared" si="4"/>
        <v>0</v>
      </c>
      <c r="F24" s="15">
        <f t="shared" si="4"/>
        <v>0</v>
      </c>
      <c r="G24" s="15">
        <f t="shared" si="4"/>
        <v>0</v>
      </c>
      <c r="H24" s="15">
        <f t="shared" si="4"/>
        <v>0</v>
      </c>
      <c r="I24" s="15">
        <f t="shared" si="4"/>
        <v>0</v>
      </c>
      <c r="J24" s="15">
        <f t="shared" si="4"/>
        <v>0</v>
      </c>
      <c r="K24" s="15">
        <f t="shared" si="4"/>
        <v>0</v>
      </c>
      <c r="L24" s="15">
        <f t="shared" si="4"/>
        <v>0</v>
      </c>
      <c r="M24" s="15">
        <f t="shared" si="4"/>
        <v>0</v>
      </c>
      <c r="N24" s="15">
        <f t="shared" si="4"/>
        <v>0</v>
      </c>
      <c r="O24" s="15">
        <f t="shared" si="4"/>
        <v>0</v>
      </c>
    </row>
    <row r="25" spans="2:18" x14ac:dyDescent="0.2">
      <c r="B25" s="4" t="s">
        <v>111</v>
      </c>
      <c r="C25" s="9">
        <f t="shared" si="1"/>
        <v>5828137.1110635148</v>
      </c>
      <c r="D25" s="10">
        <f>20%*D24</f>
        <v>5828137.1110635148</v>
      </c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</row>
    <row r="26" spans="2:18" x14ac:dyDescent="0.2">
      <c r="B26" s="5" t="s">
        <v>112</v>
      </c>
      <c r="C26" s="15">
        <f t="shared" si="1"/>
        <v>34968822.666381091</v>
      </c>
      <c r="D26" s="15">
        <f t="shared" ref="D26:O26" si="5">SUM(D24:D25)</f>
        <v>34968822.666381091</v>
      </c>
      <c r="E26" s="15">
        <f t="shared" si="5"/>
        <v>0</v>
      </c>
      <c r="F26" s="15">
        <f t="shared" si="5"/>
        <v>0</v>
      </c>
      <c r="G26" s="15">
        <f t="shared" si="5"/>
        <v>0</v>
      </c>
      <c r="H26" s="15">
        <f t="shared" si="5"/>
        <v>0</v>
      </c>
      <c r="I26" s="15">
        <f t="shared" si="5"/>
        <v>0</v>
      </c>
      <c r="J26" s="15">
        <f t="shared" si="5"/>
        <v>0</v>
      </c>
      <c r="K26" s="15">
        <f t="shared" si="5"/>
        <v>0</v>
      </c>
      <c r="L26" s="15">
        <f t="shared" si="5"/>
        <v>0</v>
      </c>
      <c r="M26" s="15">
        <f t="shared" si="5"/>
        <v>0</v>
      </c>
      <c r="N26" s="15">
        <f t="shared" si="5"/>
        <v>0</v>
      </c>
      <c r="O26" s="15">
        <f t="shared" si="5"/>
        <v>0</v>
      </c>
    </row>
    <row r="27" spans="2:18" x14ac:dyDescent="0.2"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spans="2:18" x14ac:dyDescent="0.2">
      <c r="B28" s="17" t="s">
        <v>87</v>
      </c>
      <c r="C28" s="9">
        <f>SUM(D28:O28)</f>
        <v>0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</row>
    <row r="29" spans="2:18" x14ac:dyDescent="0.2">
      <c r="B29" s="17" t="s">
        <v>88</v>
      </c>
      <c r="C29" s="9">
        <f>SUM(D29:O29)</f>
        <v>34968822.666381091</v>
      </c>
      <c r="D29" s="10">
        <f>D26</f>
        <v>34968822.666381091</v>
      </c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</row>
    <row r="30" spans="2:18" x14ac:dyDescent="0.2">
      <c r="B30" s="19" t="s">
        <v>113</v>
      </c>
    </row>
    <row r="32" spans="2:18" x14ac:dyDescent="0.2">
      <c r="B32" s="4"/>
      <c r="C32" s="4"/>
      <c r="D32" s="4" t="s">
        <v>13</v>
      </c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</row>
    <row r="33" spans="2:16" x14ac:dyDescent="0.2">
      <c r="B33" s="5"/>
      <c r="C33" s="5"/>
      <c r="D33" s="6">
        <v>1</v>
      </c>
      <c r="E33" s="6">
        <v>2</v>
      </c>
      <c r="F33" s="6">
        <v>3</v>
      </c>
      <c r="G33" s="6">
        <v>4</v>
      </c>
      <c r="H33" s="6">
        <v>5</v>
      </c>
      <c r="I33" s="6">
        <v>6</v>
      </c>
      <c r="J33" s="6">
        <v>7</v>
      </c>
      <c r="K33" s="6">
        <v>8</v>
      </c>
      <c r="L33" s="6">
        <v>9</v>
      </c>
      <c r="M33" s="6">
        <v>10</v>
      </c>
      <c r="N33" s="6">
        <v>11</v>
      </c>
      <c r="O33" s="6">
        <v>12</v>
      </c>
    </row>
    <row r="34" spans="2:16" x14ac:dyDescent="0.2">
      <c r="B34" s="7" t="s">
        <v>89</v>
      </c>
      <c r="C34" s="7" t="s">
        <v>12</v>
      </c>
      <c r="D34" s="8">
        <f>D4</f>
        <v>2022</v>
      </c>
      <c r="E34" s="8">
        <f t="shared" ref="E34:O34" si="6">E4</f>
        <v>2023</v>
      </c>
      <c r="F34" s="8">
        <f t="shared" si="6"/>
        <v>2024</v>
      </c>
      <c r="G34" s="8">
        <f t="shared" si="6"/>
        <v>2025</v>
      </c>
      <c r="H34" s="8">
        <f t="shared" si="6"/>
        <v>2026</v>
      </c>
      <c r="I34" s="8">
        <f t="shared" si="6"/>
        <v>2027</v>
      </c>
      <c r="J34" s="8">
        <f t="shared" si="6"/>
        <v>2028</v>
      </c>
      <c r="K34" s="8">
        <f t="shared" si="6"/>
        <v>2029</v>
      </c>
      <c r="L34" s="8">
        <f t="shared" si="6"/>
        <v>2030</v>
      </c>
      <c r="M34" s="8">
        <f t="shared" si="6"/>
        <v>2031</v>
      </c>
      <c r="N34" s="8">
        <f t="shared" si="6"/>
        <v>2032</v>
      </c>
      <c r="O34" s="8">
        <f t="shared" si="6"/>
        <v>2033</v>
      </c>
    </row>
    <row r="35" spans="2:16" s="2" customFormat="1" x14ac:dyDescent="0.2">
      <c r="B35" s="4" t="s">
        <v>98</v>
      </c>
      <c r="C35" s="11">
        <f t="shared" ref="C35:C52" si="7">SUM(D35:O35)</f>
        <v>0</v>
      </c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2" t="s">
        <v>124</v>
      </c>
    </row>
    <row r="36" spans="2:16" s="2" customFormat="1" x14ac:dyDescent="0.2">
      <c r="B36" s="17" t="s">
        <v>99</v>
      </c>
      <c r="C36" s="11">
        <f t="shared" si="7"/>
        <v>0</v>
      </c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2" t="s">
        <v>125</v>
      </c>
    </row>
    <row r="37" spans="2:16" s="2" customFormat="1" x14ac:dyDescent="0.2">
      <c r="B37" s="17" t="s">
        <v>85</v>
      </c>
      <c r="C37" s="11">
        <f t="shared" si="7"/>
        <v>0</v>
      </c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98" t="s">
        <v>126</v>
      </c>
    </row>
    <row r="38" spans="2:16" s="2" customFormat="1" x14ac:dyDescent="0.2">
      <c r="B38" s="17" t="s">
        <v>83</v>
      </c>
      <c r="C38" s="11">
        <f t="shared" si="7"/>
        <v>0</v>
      </c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99"/>
    </row>
    <row r="39" spans="2:16" s="2" customFormat="1" x14ac:dyDescent="0.2">
      <c r="B39" s="4" t="s">
        <v>86</v>
      </c>
      <c r="C39" s="11">
        <f t="shared" si="7"/>
        <v>0</v>
      </c>
      <c r="D39" s="11">
        <f t="shared" ref="D39:O39" si="8">SUM(D40:D48)</f>
        <v>0</v>
      </c>
      <c r="E39" s="11">
        <f t="shared" si="8"/>
        <v>0</v>
      </c>
      <c r="F39" s="11">
        <f t="shared" si="8"/>
        <v>0</v>
      </c>
      <c r="G39" s="11">
        <f t="shared" si="8"/>
        <v>0</v>
      </c>
      <c r="H39" s="11">
        <f t="shared" si="8"/>
        <v>0</v>
      </c>
      <c r="I39" s="11">
        <f t="shared" si="8"/>
        <v>0</v>
      </c>
      <c r="J39" s="11">
        <f t="shared" si="8"/>
        <v>0</v>
      </c>
      <c r="K39" s="11">
        <f t="shared" si="8"/>
        <v>0</v>
      </c>
      <c r="L39" s="11">
        <f t="shared" si="8"/>
        <v>0</v>
      </c>
      <c r="M39" s="11">
        <f t="shared" si="8"/>
        <v>0</v>
      </c>
      <c r="N39" s="11">
        <f t="shared" si="8"/>
        <v>0</v>
      </c>
      <c r="O39" s="11">
        <f t="shared" si="8"/>
        <v>0</v>
      </c>
      <c r="P39" s="199"/>
    </row>
    <row r="40" spans="2:16" s="2" customFormat="1" x14ac:dyDescent="0.2">
      <c r="B40" s="48" t="s">
        <v>50</v>
      </c>
      <c r="C40" s="49">
        <f t="shared" si="7"/>
        <v>0</v>
      </c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199"/>
    </row>
    <row r="41" spans="2:16" s="2" customFormat="1" x14ac:dyDescent="0.2">
      <c r="B41" s="48" t="s">
        <v>51</v>
      </c>
      <c r="C41" s="49">
        <f t="shared" si="7"/>
        <v>0</v>
      </c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199"/>
    </row>
    <row r="42" spans="2:16" s="2" customFormat="1" x14ac:dyDescent="0.2">
      <c r="B42" s="48" t="s">
        <v>107</v>
      </c>
      <c r="C42" s="49">
        <f t="shared" si="7"/>
        <v>0</v>
      </c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199"/>
    </row>
    <row r="43" spans="2:16" s="2" customFormat="1" x14ac:dyDescent="0.2">
      <c r="B43" s="48" t="s">
        <v>108</v>
      </c>
      <c r="C43" s="49">
        <f t="shared" si="7"/>
        <v>0</v>
      </c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199"/>
    </row>
    <row r="44" spans="2:16" s="2" customFormat="1" x14ac:dyDescent="0.2">
      <c r="B44" s="48" t="s">
        <v>52</v>
      </c>
      <c r="C44" s="49">
        <f t="shared" si="7"/>
        <v>0</v>
      </c>
      <c r="D44" s="49"/>
      <c r="E44" s="49"/>
      <c r="F44" s="49"/>
      <c r="G44" s="49"/>
      <c r="H44" s="49"/>
      <c r="I44" s="49"/>
      <c r="J44" s="49"/>
      <c r="K44" s="49"/>
      <c r="L44" s="49"/>
      <c r="M44" s="49"/>
      <c r="N44" s="49"/>
      <c r="O44" s="49"/>
      <c r="P44" s="199"/>
    </row>
    <row r="45" spans="2:16" s="2" customFormat="1" x14ac:dyDescent="0.2">
      <c r="B45" s="48" t="s">
        <v>61</v>
      </c>
      <c r="C45" s="49">
        <f t="shared" si="7"/>
        <v>0</v>
      </c>
      <c r="D45" s="49"/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199"/>
    </row>
    <row r="46" spans="2:16" s="2" customFormat="1" x14ac:dyDescent="0.2">
      <c r="B46" s="48" t="s">
        <v>62</v>
      </c>
      <c r="C46" s="49">
        <f t="shared" si="7"/>
        <v>0</v>
      </c>
      <c r="D46" s="49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199"/>
    </row>
    <row r="47" spans="2:16" s="2" customFormat="1" x14ac:dyDescent="0.2">
      <c r="B47" s="48" t="s">
        <v>79</v>
      </c>
      <c r="C47" s="49">
        <f t="shared" si="7"/>
        <v>0</v>
      </c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199"/>
    </row>
    <row r="48" spans="2:16" s="2" customFormat="1" x14ac:dyDescent="0.2">
      <c r="B48" s="50" t="s">
        <v>109</v>
      </c>
      <c r="C48" s="49">
        <f t="shared" si="7"/>
        <v>0</v>
      </c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199"/>
    </row>
    <row r="49" spans="2:16" s="2" customFormat="1" x14ac:dyDescent="0.2">
      <c r="B49" s="17" t="s">
        <v>63</v>
      </c>
      <c r="C49" s="11">
        <f t="shared" si="7"/>
        <v>13024048.567665599</v>
      </c>
      <c r="D49" s="11">
        <f>D19*(Parametre!D70*Parametre!C62+Parametre!E70*Parametre!C63+Parametre!F70*Parametre!C64)</f>
        <v>13024048.567665599</v>
      </c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200"/>
    </row>
    <row r="50" spans="2:16" s="2" customFormat="1" x14ac:dyDescent="0.2">
      <c r="B50" s="17" t="s">
        <v>84</v>
      </c>
      <c r="C50" s="11">
        <f t="shared" si="7"/>
        <v>721172.6572261001</v>
      </c>
      <c r="D50" s="11">
        <f>D20*(Parametre!D71*Parametre!C62+Parametre!E71*Parametre!C63+Parametre!F71*Parametre!C64)</f>
        <v>721172.6572261001</v>
      </c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2" t="s">
        <v>127</v>
      </c>
    </row>
    <row r="51" spans="2:16" s="2" customFormat="1" x14ac:dyDescent="0.2">
      <c r="B51" s="17" t="s">
        <v>110</v>
      </c>
      <c r="C51" s="11">
        <f t="shared" si="7"/>
        <v>4249877.7790294886</v>
      </c>
      <c r="D51" s="11">
        <f>D21*(Parametre!D72*Parametre!C62+Parametre!E72*Parametre!C63+Parametre!F72*Parametre!C64)</f>
        <v>4249877.7790294886</v>
      </c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2" t="s">
        <v>124</v>
      </c>
    </row>
    <row r="52" spans="2:16" s="2" customFormat="1" x14ac:dyDescent="0.2">
      <c r="B52" s="20" t="s">
        <v>103</v>
      </c>
      <c r="C52" s="21">
        <f t="shared" si="7"/>
        <v>17995099.003921188</v>
      </c>
      <c r="D52" s="21">
        <f t="shared" ref="D52:O52" si="9">SUM(D35:D39,D49:D51)</f>
        <v>17995099.003921188</v>
      </c>
      <c r="E52" s="21">
        <f t="shared" si="9"/>
        <v>0</v>
      </c>
      <c r="F52" s="21">
        <f t="shared" si="9"/>
        <v>0</v>
      </c>
      <c r="G52" s="21">
        <f t="shared" si="9"/>
        <v>0</v>
      </c>
      <c r="H52" s="21">
        <f t="shared" si="9"/>
        <v>0</v>
      </c>
      <c r="I52" s="21">
        <f t="shared" si="9"/>
        <v>0</v>
      </c>
      <c r="J52" s="21">
        <f t="shared" si="9"/>
        <v>0</v>
      </c>
      <c r="K52" s="21">
        <f t="shared" si="9"/>
        <v>0</v>
      </c>
      <c r="L52" s="21">
        <f t="shared" si="9"/>
        <v>0</v>
      </c>
      <c r="M52" s="21">
        <f t="shared" si="9"/>
        <v>0</v>
      </c>
      <c r="N52" s="21">
        <f t="shared" si="9"/>
        <v>0</v>
      </c>
      <c r="O52" s="21">
        <f t="shared" si="9"/>
        <v>0</v>
      </c>
    </row>
  </sheetData>
  <mergeCells count="1">
    <mergeCell ref="P37:P49"/>
  </mergeCells>
  <phoneticPr fontId="2" type="noConversion"/>
  <pageMargins left="0.19685039370078741" right="0.19685039370078741" top="0.98425196850393704" bottom="0.78740157480314965" header="0.51181102362204722" footer="0.51181102362204722"/>
  <pageSetup scale="75" orientation="landscape" r:id="rId1"/>
  <headerFooter alignWithMargins="0">
    <oddHeader>&amp;LPríloha 7: Štandardné tabuľky - Cesty 
&amp;"Arial,Tučné"&amp;12 01 Investičné náklady</oddHead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FF"/>
  </sheetPr>
  <dimension ref="B1:I22"/>
  <sheetViews>
    <sheetView zoomScaleNormal="100" workbookViewId="0">
      <selection activeCell="A24" sqref="A24"/>
    </sheetView>
  </sheetViews>
  <sheetFormatPr defaultRowHeight="11.25" x14ac:dyDescent="0.2"/>
  <cols>
    <col min="1" max="1" width="2.7109375" style="3" customWidth="1"/>
    <col min="2" max="2" width="50.7109375" style="3" customWidth="1"/>
    <col min="3" max="9" width="13.7109375" style="3" customWidth="1"/>
    <col min="10" max="36" width="5" style="3" bestFit="1" customWidth="1"/>
    <col min="37" max="16384" width="9.140625" style="3"/>
  </cols>
  <sheetData>
    <row r="1" spans="2:9" ht="12" thickBot="1" x14ac:dyDescent="0.25">
      <c r="B1" s="180"/>
    </row>
    <row r="2" spans="2:9" x14ac:dyDescent="0.2">
      <c r="B2" s="22" t="s">
        <v>265</v>
      </c>
      <c r="H2" s="141" t="s">
        <v>266</v>
      </c>
      <c r="I2" s="142" t="s">
        <v>267</v>
      </c>
    </row>
    <row r="3" spans="2:9" ht="56.25" x14ac:dyDescent="0.2">
      <c r="B3" s="130" t="s">
        <v>64</v>
      </c>
      <c r="C3" s="131" t="s">
        <v>53</v>
      </c>
      <c r="D3" s="131" t="s">
        <v>165</v>
      </c>
      <c r="E3" s="131" t="s">
        <v>58</v>
      </c>
      <c r="F3" s="131" t="s">
        <v>57</v>
      </c>
      <c r="G3" s="132" t="s">
        <v>60</v>
      </c>
      <c r="H3" s="135" t="s">
        <v>24</v>
      </c>
      <c r="I3" s="136" t="s">
        <v>24</v>
      </c>
    </row>
    <row r="4" spans="2:9" x14ac:dyDescent="0.2">
      <c r="B4" s="23" t="s">
        <v>56</v>
      </c>
      <c r="C4" s="24" t="s">
        <v>59</v>
      </c>
      <c r="D4" s="127">
        <f>30-(Parametre!$C$15-Parametre!$C$14)</f>
        <v>30</v>
      </c>
      <c r="E4" s="24">
        <v>0</v>
      </c>
      <c r="F4" s="24" t="s">
        <v>59</v>
      </c>
      <c r="G4" s="133" t="s">
        <v>59</v>
      </c>
      <c r="H4" s="137"/>
      <c r="I4" s="139"/>
    </row>
    <row r="5" spans="2:9" x14ac:dyDescent="0.2">
      <c r="B5" s="23" t="s">
        <v>50</v>
      </c>
      <c r="C5" s="25">
        <v>100</v>
      </c>
      <c r="D5" s="128">
        <f>30-(Parametre!$C$15-Parametre!$C$14)</f>
        <v>30</v>
      </c>
      <c r="E5" s="25">
        <v>0</v>
      </c>
      <c r="F5" s="25">
        <f>C5+(E5*C5)</f>
        <v>100</v>
      </c>
      <c r="G5" s="134">
        <f>(F5-D5)/C5</f>
        <v>0.7</v>
      </c>
      <c r="H5" s="137"/>
      <c r="I5" s="139"/>
    </row>
    <row r="6" spans="2:9" x14ac:dyDescent="0.2">
      <c r="B6" s="23" t="s">
        <v>51</v>
      </c>
      <c r="C6" s="25">
        <v>100</v>
      </c>
      <c r="D6" s="128">
        <f>30-(Parametre!$C$15-Parametre!$C$14)</f>
        <v>30</v>
      </c>
      <c r="E6" s="25">
        <v>0</v>
      </c>
      <c r="F6" s="25">
        <f t="shared" ref="F6:F13" si="0">C6+(E6*C6)</f>
        <v>100</v>
      </c>
      <c r="G6" s="134">
        <f t="shared" ref="G6:G12" si="1">(F6-D6)/C6</f>
        <v>0.7</v>
      </c>
      <c r="H6" s="137"/>
      <c r="I6" s="139"/>
    </row>
    <row r="7" spans="2:9" x14ac:dyDescent="0.2">
      <c r="B7" s="23" t="s">
        <v>107</v>
      </c>
      <c r="C7" s="25">
        <v>30</v>
      </c>
      <c r="D7" s="128">
        <f>30-(Parametre!$C$15-Parametre!$C$14)</f>
        <v>30</v>
      </c>
      <c r="E7" s="25">
        <v>0</v>
      </c>
      <c r="F7" s="25">
        <f>C7+(E7*C7)</f>
        <v>30</v>
      </c>
      <c r="G7" s="134">
        <f t="shared" si="1"/>
        <v>0</v>
      </c>
      <c r="H7" s="137"/>
      <c r="I7" s="139"/>
    </row>
    <row r="8" spans="2:9" x14ac:dyDescent="0.2">
      <c r="B8" s="23" t="s">
        <v>61</v>
      </c>
      <c r="C8" s="25">
        <v>50</v>
      </c>
      <c r="D8" s="128">
        <f>30-(Parametre!$C$15-Parametre!$C$14)</f>
        <v>30</v>
      </c>
      <c r="E8" s="25">
        <v>0</v>
      </c>
      <c r="F8" s="25">
        <f t="shared" si="0"/>
        <v>50</v>
      </c>
      <c r="G8" s="134">
        <f t="shared" si="1"/>
        <v>0.4</v>
      </c>
      <c r="H8" s="137"/>
      <c r="I8" s="139"/>
    </row>
    <row r="9" spans="2:9" x14ac:dyDescent="0.2">
      <c r="B9" s="23" t="s">
        <v>62</v>
      </c>
      <c r="C9" s="25">
        <v>20</v>
      </c>
      <c r="D9" s="128">
        <f>30-(Parametre!$C$15-Parametre!$C$14)</f>
        <v>30</v>
      </c>
      <c r="E9" s="25">
        <v>1</v>
      </c>
      <c r="F9" s="25">
        <f t="shared" si="0"/>
        <v>40</v>
      </c>
      <c r="G9" s="134">
        <f t="shared" si="1"/>
        <v>0.5</v>
      </c>
      <c r="H9" s="137"/>
      <c r="I9" s="139"/>
    </row>
    <row r="10" spans="2:9" x14ac:dyDescent="0.2">
      <c r="B10" s="23" t="s">
        <v>52</v>
      </c>
      <c r="C10" s="25">
        <v>20</v>
      </c>
      <c r="D10" s="128">
        <f>30-(Parametre!$C$15-Parametre!$C$14)</f>
        <v>30</v>
      </c>
      <c r="E10" s="25">
        <v>1</v>
      </c>
      <c r="F10" s="25">
        <f t="shared" si="0"/>
        <v>40</v>
      </c>
      <c r="G10" s="134">
        <f t="shared" si="1"/>
        <v>0.5</v>
      </c>
      <c r="H10" s="137"/>
      <c r="I10" s="139"/>
    </row>
    <row r="11" spans="2:9" x14ac:dyDescent="0.2">
      <c r="B11" s="23" t="s">
        <v>108</v>
      </c>
      <c r="C11" s="25">
        <v>30</v>
      </c>
      <c r="D11" s="128">
        <f>30-(Parametre!$C$15-Parametre!$C$14)</f>
        <v>30</v>
      </c>
      <c r="E11" s="25">
        <v>0</v>
      </c>
      <c r="F11" s="25">
        <f t="shared" si="0"/>
        <v>30</v>
      </c>
      <c r="G11" s="134">
        <f t="shared" si="1"/>
        <v>0</v>
      </c>
      <c r="H11" s="137"/>
      <c r="I11" s="139"/>
    </row>
    <row r="12" spans="2:9" x14ac:dyDescent="0.2">
      <c r="B12" s="23" t="s">
        <v>262</v>
      </c>
      <c r="C12" s="25">
        <v>15</v>
      </c>
      <c r="D12" s="128">
        <f>30-(Parametre!$C$15-Parametre!$C$14)</f>
        <v>30</v>
      </c>
      <c r="E12" s="25">
        <v>1</v>
      </c>
      <c r="F12" s="25">
        <f t="shared" si="0"/>
        <v>30</v>
      </c>
      <c r="G12" s="134">
        <f t="shared" si="1"/>
        <v>0</v>
      </c>
      <c r="H12" s="137"/>
      <c r="I12" s="139"/>
    </row>
    <row r="13" spans="2:9" ht="12" thickBot="1" x14ac:dyDescent="0.25">
      <c r="B13" s="23" t="s">
        <v>345</v>
      </c>
      <c r="C13" s="25">
        <v>5</v>
      </c>
      <c r="D13" s="128">
        <v>10</v>
      </c>
      <c r="E13" s="25">
        <v>1</v>
      </c>
      <c r="F13" s="25">
        <f t="shared" si="0"/>
        <v>10</v>
      </c>
      <c r="G13" s="134">
        <v>0</v>
      </c>
      <c r="H13" s="189">
        <v>0</v>
      </c>
      <c r="I13" s="139">
        <v>0</v>
      </c>
    </row>
    <row r="14" spans="2:9" ht="12" thickBot="1" x14ac:dyDescent="0.25">
      <c r="B14" s="5" t="s">
        <v>24</v>
      </c>
      <c r="C14" s="4"/>
      <c r="D14" s="17"/>
      <c r="E14" s="4"/>
      <c r="F14" s="4"/>
      <c r="G14" s="39"/>
      <c r="H14" s="129">
        <v>0</v>
      </c>
      <c r="I14" s="140">
        <v>0</v>
      </c>
    </row>
    <row r="15" spans="2:9" x14ac:dyDescent="0.2">
      <c r="B15" s="26" t="s">
        <v>263</v>
      </c>
    </row>
    <row r="16" spans="2:9" x14ac:dyDescent="0.2">
      <c r="B16" s="1" t="s">
        <v>264</v>
      </c>
    </row>
    <row r="19" spans="2:4" ht="12" thickBot="1" x14ac:dyDescent="0.25">
      <c r="B19" s="27" t="s">
        <v>268</v>
      </c>
      <c r="C19" s="28"/>
      <c r="D19" s="28"/>
    </row>
    <row r="20" spans="2:4" ht="12" thickBot="1" x14ac:dyDescent="0.25">
      <c r="B20" s="39" t="s">
        <v>65</v>
      </c>
      <c r="C20" s="129">
        <v>0</v>
      </c>
      <c r="D20" s="87"/>
    </row>
    <row r="21" spans="2:4" ht="12" thickBot="1" x14ac:dyDescent="0.25">
      <c r="B21" s="39" t="s">
        <v>97</v>
      </c>
      <c r="C21" s="138">
        <v>0</v>
      </c>
      <c r="D21" s="88"/>
    </row>
    <row r="22" spans="2:4" x14ac:dyDescent="0.2">
      <c r="B22" s="1" t="s">
        <v>269</v>
      </c>
    </row>
  </sheetData>
  <phoneticPr fontId="2" type="noConversion"/>
  <pageMargins left="0.19685039370078741" right="0.19685039370078741" top="0.98425196850393704" bottom="0.78740157480314965" header="0.51181102362204722" footer="0.51181102362204722"/>
  <pageSetup scale="75" orientation="landscape" r:id="rId1"/>
  <headerFooter alignWithMargins="0">
    <oddHeader>&amp;LPríloha 7: Štandardné tabuľky - Cesty
&amp;"Arial,Tučné"&amp;12 02 Zostatková hodnota</oddHeader>
    <oddFooter>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FF"/>
  </sheetPr>
  <dimension ref="B2:P51"/>
  <sheetViews>
    <sheetView topLeftCell="A10" zoomScaleNormal="100" workbookViewId="0">
      <selection activeCell="C48" sqref="C48:I51"/>
    </sheetView>
  </sheetViews>
  <sheetFormatPr defaultRowHeight="11.25" x14ac:dyDescent="0.2"/>
  <cols>
    <col min="1" max="1" width="2.7109375" style="3" customWidth="1"/>
    <col min="2" max="2" width="45.42578125" style="3" bestFit="1" customWidth="1"/>
    <col min="3" max="3" width="13.140625" style="3" customWidth="1"/>
    <col min="4" max="4" width="9.5703125" style="3" customWidth="1"/>
    <col min="5" max="14" width="9.28515625" style="3" bestFit="1" customWidth="1"/>
    <col min="15" max="15" width="8.7109375" style="3" bestFit="1" customWidth="1"/>
    <col min="16" max="16" width="38.42578125" style="3" customWidth="1"/>
    <col min="17" max="16384" width="9.140625" style="3"/>
  </cols>
  <sheetData>
    <row r="2" spans="2:16" x14ac:dyDescent="0.2">
      <c r="C2" s="4"/>
      <c r="D2" s="4" t="s">
        <v>13</v>
      </c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2:16" x14ac:dyDescent="0.2">
      <c r="B3" s="5" t="s">
        <v>117</v>
      </c>
      <c r="C3" s="5"/>
      <c r="D3" s="4">
        <v>1</v>
      </c>
      <c r="E3" s="4">
        <v>2</v>
      </c>
      <c r="F3" s="4">
        <v>3</v>
      </c>
      <c r="G3" s="4">
        <v>4</v>
      </c>
      <c r="H3" s="4">
        <v>5</v>
      </c>
      <c r="I3" s="4">
        <v>6</v>
      </c>
      <c r="J3" s="4">
        <v>7</v>
      </c>
      <c r="K3" s="4">
        <v>8</v>
      </c>
      <c r="L3" s="4">
        <v>9</v>
      </c>
      <c r="M3" s="4">
        <v>10</v>
      </c>
      <c r="N3" s="4">
        <v>11</v>
      </c>
      <c r="O3" s="4">
        <v>12</v>
      </c>
    </row>
    <row r="4" spans="2:16" x14ac:dyDescent="0.2">
      <c r="B4" s="7" t="s">
        <v>66</v>
      </c>
      <c r="C4" s="7" t="s">
        <v>12</v>
      </c>
      <c r="D4" s="29">
        <v>2022</v>
      </c>
      <c r="E4" s="29">
        <f>$D$4+D3</f>
        <v>2023</v>
      </c>
      <c r="F4" s="29">
        <f>$D$4+E3</f>
        <v>2024</v>
      </c>
      <c r="G4" s="29">
        <f>$D$4+F3</f>
        <v>2025</v>
      </c>
      <c r="H4" s="29">
        <f t="shared" ref="H4:O4" si="0">$D$4+G3</f>
        <v>2026</v>
      </c>
      <c r="I4" s="29">
        <f t="shared" si="0"/>
        <v>2027</v>
      </c>
      <c r="J4" s="29">
        <f t="shared" si="0"/>
        <v>2028</v>
      </c>
      <c r="K4" s="29">
        <f t="shared" si="0"/>
        <v>2029</v>
      </c>
      <c r="L4" s="29">
        <f t="shared" si="0"/>
        <v>2030</v>
      </c>
      <c r="M4" s="29">
        <f t="shared" si="0"/>
        <v>2031</v>
      </c>
      <c r="N4" s="29">
        <f t="shared" si="0"/>
        <v>2032</v>
      </c>
      <c r="O4" s="29">
        <f t="shared" si="0"/>
        <v>2033</v>
      </c>
    </row>
    <row r="5" spans="2:16" x14ac:dyDescent="0.2">
      <c r="B5" s="4" t="s">
        <v>114</v>
      </c>
      <c r="C5" s="9">
        <f t="shared" ref="C5:C12" si="1">SUM(D5:O5)</f>
        <v>0</v>
      </c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</row>
    <row r="6" spans="2:16" x14ac:dyDescent="0.2">
      <c r="B6" s="4" t="s">
        <v>115</v>
      </c>
      <c r="C6" s="9">
        <f t="shared" si="1"/>
        <v>0</v>
      </c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</row>
    <row r="7" spans="2:16" x14ac:dyDescent="0.2">
      <c r="B7" s="4" t="s">
        <v>67</v>
      </c>
      <c r="C7" s="9">
        <f t="shared" si="1"/>
        <v>0</v>
      </c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</row>
    <row r="8" spans="2:16" x14ac:dyDescent="0.2">
      <c r="B8" s="5" t="s">
        <v>116</v>
      </c>
      <c r="C8" s="15">
        <f t="shared" si="1"/>
        <v>0</v>
      </c>
      <c r="D8" s="15">
        <f>SUM(D5:D7)</f>
        <v>0</v>
      </c>
      <c r="E8" s="15">
        <f t="shared" ref="E8:O8" si="2">SUM(E5:E7)</f>
        <v>0</v>
      </c>
      <c r="F8" s="15">
        <f t="shared" si="2"/>
        <v>0</v>
      </c>
      <c r="G8" s="15">
        <f t="shared" si="2"/>
        <v>0</v>
      </c>
      <c r="H8" s="15">
        <f t="shared" si="2"/>
        <v>0</v>
      </c>
      <c r="I8" s="15">
        <f t="shared" si="2"/>
        <v>0</v>
      </c>
      <c r="J8" s="15">
        <f t="shared" si="2"/>
        <v>0</v>
      </c>
      <c r="K8" s="15">
        <f t="shared" si="2"/>
        <v>0</v>
      </c>
      <c r="L8" s="15">
        <f t="shared" si="2"/>
        <v>0</v>
      </c>
      <c r="M8" s="15">
        <f t="shared" si="2"/>
        <v>0</v>
      </c>
      <c r="N8" s="15">
        <f t="shared" si="2"/>
        <v>0</v>
      </c>
      <c r="O8" s="15">
        <f t="shared" si="2"/>
        <v>0</v>
      </c>
    </row>
    <row r="9" spans="2:16" x14ac:dyDescent="0.2">
      <c r="B9" s="17" t="s">
        <v>120</v>
      </c>
      <c r="C9" s="9">
        <f t="shared" si="1"/>
        <v>13937750</v>
      </c>
      <c r="D9" s="10">
        <v>0</v>
      </c>
      <c r="E9" s="10">
        <f>[2]Sheet1!D19</f>
        <v>2599072</v>
      </c>
      <c r="F9" s="10">
        <f>[2]Sheet1!E19</f>
        <v>2689915</v>
      </c>
      <c r="G9" s="10">
        <f>[2]Sheet1!F19</f>
        <v>2784437</v>
      </c>
      <c r="H9" s="10">
        <f>[2]Sheet1!G19</f>
        <v>2881789</v>
      </c>
      <c r="I9" s="10">
        <f>[2]Sheet1!H19</f>
        <v>2982537</v>
      </c>
      <c r="J9" s="10"/>
      <c r="K9" s="10"/>
      <c r="L9" s="10"/>
      <c r="M9" s="10"/>
      <c r="N9" s="10"/>
      <c r="O9" s="10">
        <v>0</v>
      </c>
      <c r="P9" s="3" t="s">
        <v>350</v>
      </c>
    </row>
    <row r="10" spans="2:16" x14ac:dyDescent="0.2">
      <c r="B10" s="17" t="s">
        <v>123</v>
      </c>
      <c r="C10" s="9">
        <f t="shared" si="1"/>
        <v>0</v>
      </c>
      <c r="D10" s="10">
        <v>0</v>
      </c>
      <c r="E10" s="10">
        <v>0</v>
      </c>
      <c r="F10" s="10">
        <v>0</v>
      </c>
      <c r="G10" s="10">
        <v>0</v>
      </c>
      <c r="H10" s="10">
        <v>0</v>
      </c>
      <c r="I10" s="10">
        <v>0</v>
      </c>
      <c r="J10" s="10">
        <v>0</v>
      </c>
      <c r="K10" s="10">
        <v>0</v>
      </c>
      <c r="L10" s="10">
        <v>0</v>
      </c>
      <c r="M10" s="10">
        <v>0</v>
      </c>
      <c r="N10" s="10">
        <v>0</v>
      </c>
      <c r="O10" s="10">
        <v>0</v>
      </c>
    </row>
    <row r="11" spans="2:16" ht="12" thickBot="1" x14ac:dyDescent="0.25">
      <c r="B11" s="30" t="s">
        <v>119</v>
      </c>
      <c r="C11" s="31">
        <f t="shared" si="1"/>
        <v>13937750</v>
      </c>
      <c r="D11" s="31">
        <f>SUM(D9:D10)</f>
        <v>0</v>
      </c>
      <c r="E11" s="31">
        <f t="shared" ref="E11:O11" si="3">SUM(E9:E10)</f>
        <v>2599072</v>
      </c>
      <c r="F11" s="31">
        <f t="shared" si="3"/>
        <v>2689915</v>
      </c>
      <c r="G11" s="31">
        <f t="shared" si="3"/>
        <v>2784437</v>
      </c>
      <c r="H11" s="31">
        <f t="shared" si="3"/>
        <v>2881789</v>
      </c>
      <c r="I11" s="31">
        <f t="shared" si="3"/>
        <v>2982537</v>
      </c>
      <c r="J11" s="31">
        <f t="shared" si="3"/>
        <v>0</v>
      </c>
      <c r="K11" s="31">
        <f t="shared" si="3"/>
        <v>0</v>
      </c>
      <c r="L11" s="31">
        <f t="shared" si="3"/>
        <v>0</v>
      </c>
      <c r="M11" s="31">
        <f t="shared" si="3"/>
        <v>0</v>
      </c>
      <c r="N11" s="31">
        <f t="shared" si="3"/>
        <v>0</v>
      </c>
      <c r="O11" s="31">
        <f t="shared" si="3"/>
        <v>0</v>
      </c>
    </row>
    <row r="12" spans="2:16" ht="12" thickTop="1" x14ac:dyDescent="0.2">
      <c r="B12" s="32" t="s">
        <v>118</v>
      </c>
      <c r="C12" s="33">
        <f t="shared" si="1"/>
        <v>13937750</v>
      </c>
      <c r="D12" s="33">
        <f>SUM(D8,D11)</f>
        <v>0</v>
      </c>
      <c r="E12" s="33">
        <f t="shared" ref="E12:O12" si="4">SUM(E8,E11)</f>
        <v>2599072</v>
      </c>
      <c r="F12" s="33">
        <f t="shared" si="4"/>
        <v>2689915</v>
      </c>
      <c r="G12" s="33">
        <f t="shared" si="4"/>
        <v>2784437</v>
      </c>
      <c r="H12" s="33">
        <f t="shared" si="4"/>
        <v>2881789</v>
      </c>
      <c r="I12" s="33">
        <f t="shared" si="4"/>
        <v>2982537</v>
      </c>
      <c r="J12" s="33">
        <f t="shared" si="4"/>
        <v>0</v>
      </c>
      <c r="K12" s="33">
        <f t="shared" si="4"/>
        <v>0</v>
      </c>
      <c r="L12" s="33">
        <f t="shared" si="4"/>
        <v>0</v>
      </c>
      <c r="M12" s="33">
        <f t="shared" si="4"/>
        <v>0</v>
      </c>
      <c r="N12" s="33">
        <f t="shared" si="4"/>
        <v>0</v>
      </c>
      <c r="O12" s="33">
        <f t="shared" si="4"/>
        <v>0</v>
      </c>
    </row>
    <row r="15" spans="2:16" x14ac:dyDescent="0.2">
      <c r="C15" s="4"/>
      <c r="D15" s="4" t="s">
        <v>13</v>
      </c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</row>
    <row r="16" spans="2:16" x14ac:dyDescent="0.2">
      <c r="B16" s="5" t="s">
        <v>129</v>
      </c>
      <c r="C16" s="5"/>
      <c r="D16" s="6">
        <v>1</v>
      </c>
      <c r="E16" s="6">
        <v>2</v>
      </c>
      <c r="F16" s="6">
        <v>3</v>
      </c>
      <c r="G16" s="6">
        <v>4</v>
      </c>
      <c r="H16" s="6">
        <v>5</v>
      </c>
      <c r="I16" s="6">
        <v>6</v>
      </c>
      <c r="J16" s="6">
        <v>7</v>
      </c>
      <c r="K16" s="6">
        <v>8</v>
      </c>
      <c r="L16" s="6">
        <v>9</v>
      </c>
      <c r="M16" s="6">
        <v>10</v>
      </c>
      <c r="N16" s="6">
        <v>11</v>
      </c>
      <c r="O16" s="6">
        <v>12</v>
      </c>
    </row>
    <row r="17" spans="2:16" x14ac:dyDescent="0.2">
      <c r="B17" s="7" t="s">
        <v>68</v>
      </c>
      <c r="C17" s="7" t="s">
        <v>12</v>
      </c>
      <c r="D17" s="8">
        <v>2022</v>
      </c>
      <c r="E17" s="8">
        <f>$D$4+D16</f>
        <v>2023</v>
      </c>
      <c r="F17" s="8">
        <f>$D$4+E16</f>
        <v>2024</v>
      </c>
      <c r="G17" s="8">
        <f>$D$4+F16</f>
        <v>2025</v>
      </c>
      <c r="H17" s="8">
        <f t="shared" ref="H17:O17" si="5">$D$4+G16</f>
        <v>2026</v>
      </c>
      <c r="I17" s="8">
        <f t="shared" si="5"/>
        <v>2027</v>
      </c>
      <c r="J17" s="8">
        <f t="shared" si="5"/>
        <v>2028</v>
      </c>
      <c r="K17" s="8">
        <f t="shared" si="5"/>
        <v>2029</v>
      </c>
      <c r="L17" s="8">
        <f t="shared" si="5"/>
        <v>2030</v>
      </c>
      <c r="M17" s="8">
        <f t="shared" si="5"/>
        <v>2031</v>
      </c>
      <c r="N17" s="8">
        <f t="shared" si="5"/>
        <v>2032</v>
      </c>
      <c r="O17" s="8">
        <f t="shared" si="5"/>
        <v>2033</v>
      </c>
    </row>
    <row r="18" spans="2:16" x14ac:dyDescent="0.2">
      <c r="B18" s="4" t="s">
        <v>114</v>
      </c>
      <c r="C18" s="9">
        <f t="shared" ref="C18:C25" si="6">SUM(D18:O18)</f>
        <v>0</v>
      </c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</row>
    <row r="19" spans="2:16" x14ac:dyDescent="0.2">
      <c r="B19" s="4" t="s">
        <v>115</v>
      </c>
      <c r="C19" s="9">
        <f t="shared" si="6"/>
        <v>0</v>
      </c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</row>
    <row r="20" spans="2:16" x14ac:dyDescent="0.2">
      <c r="B20" s="4" t="s">
        <v>67</v>
      </c>
      <c r="C20" s="9">
        <f t="shared" si="6"/>
        <v>0</v>
      </c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</row>
    <row r="21" spans="2:16" x14ac:dyDescent="0.2">
      <c r="B21" s="5" t="s">
        <v>116</v>
      </c>
      <c r="C21" s="15">
        <f t="shared" si="6"/>
        <v>0</v>
      </c>
      <c r="D21" s="15">
        <f>SUM(D18:D20)</f>
        <v>0</v>
      </c>
      <c r="E21" s="15">
        <f t="shared" ref="E21:O21" si="7">SUM(E18:E20)</f>
        <v>0</v>
      </c>
      <c r="F21" s="15">
        <f t="shared" si="7"/>
        <v>0</v>
      </c>
      <c r="G21" s="15">
        <f t="shared" si="7"/>
        <v>0</v>
      </c>
      <c r="H21" s="15">
        <f t="shared" si="7"/>
        <v>0</v>
      </c>
      <c r="I21" s="15">
        <f t="shared" si="7"/>
        <v>0</v>
      </c>
      <c r="J21" s="15">
        <f t="shared" si="7"/>
        <v>0</v>
      </c>
      <c r="K21" s="15">
        <f t="shared" si="7"/>
        <v>0</v>
      </c>
      <c r="L21" s="15">
        <f t="shared" si="7"/>
        <v>0</v>
      </c>
      <c r="M21" s="15">
        <f t="shared" si="7"/>
        <v>0</v>
      </c>
      <c r="N21" s="15">
        <f t="shared" si="7"/>
        <v>0</v>
      </c>
      <c r="O21" s="15">
        <f t="shared" si="7"/>
        <v>0</v>
      </c>
    </row>
    <row r="22" spans="2:16" x14ac:dyDescent="0.2">
      <c r="B22" s="17" t="s">
        <v>120</v>
      </c>
      <c r="C22" s="9">
        <f t="shared" si="6"/>
        <v>154996359.99000943</v>
      </c>
      <c r="D22" s="10">
        <v>0</v>
      </c>
      <c r="E22" s="10">
        <f>[1]Vstupy_CBA!C$25</f>
        <v>31654039.220620431</v>
      </c>
      <c r="F22" s="10">
        <f>[1]Vstupy_CBA!D$25</f>
        <v>31522246.289287228</v>
      </c>
      <c r="G22" s="10">
        <f>[1]Vstupy_CBA!E$25</f>
        <v>31036105.783990908</v>
      </c>
      <c r="H22" s="10">
        <f>[1]Vstupy_CBA!F$25</f>
        <v>30683564.337922428</v>
      </c>
      <c r="I22" s="10">
        <f>[1]Vstupy_CBA!G$25</f>
        <v>30100404.35818845</v>
      </c>
      <c r="J22" s="10"/>
      <c r="K22" s="10"/>
      <c r="L22" s="10"/>
      <c r="M22" s="10"/>
      <c r="N22" s="10"/>
      <c r="O22" s="10">
        <f>[1]Vstupy_CBA!M$24</f>
        <v>0</v>
      </c>
      <c r="P22" s="3" t="s">
        <v>347</v>
      </c>
    </row>
    <row r="23" spans="2:16" x14ac:dyDescent="0.2">
      <c r="B23" s="17" t="s">
        <v>123</v>
      </c>
      <c r="C23" s="9">
        <f t="shared" si="6"/>
        <v>0</v>
      </c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</row>
    <row r="24" spans="2:16" ht="12" thickBot="1" x14ac:dyDescent="0.25">
      <c r="B24" s="30" t="s">
        <v>119</v>
      </c>
      <c r="C24" s="31">
        <f t="shared" si="6"/>
        <v>154996359.99000943</v>
      </c>
      <c r="D24" s="31">
        <f>SUM(D22:D23)</f>
        <v>0</v>
      </c>
      <c r="E24" s="31">
        <f t="shared" ref="E24:O24" si="8">SUM(E22:E23)</f>
        <v>31654039.220620431</v>
      </c>
      <c r="F24" s="31">
        <f t="shared" si="8"/>
        <v>31522246.289287228</v>
      </c>
      <c r="G24" s="31">
        <f t="shared" si="8"/>
        <v>31036105.783990908</v>
      </c>
      <c r="H24" s="31">
        <f t="shared" si="8"/>
        <v>30683564.337922428</v>
      </c>
      <c r="I24" s="31">
        <f t="shared" si="8"/>
        <v>30100404.35818845</v>
      </c>
      <c r="J24" s="31">
        <f t="shared" si="8"/>
        <v>0</v>
      </c>
      <c r="K24" s="31">
        <f t="shared" si="8"/>
        <v>0</v>
      </c>
      <c r="L24" s="31">
        <f t="shared" si="8"/>
        <v>0</v>
      </c>
      <c r="M24" s="31">
        <f t="shared" si="8"/>
        <v>0</v>
      </c>
      <c r="N24" s="31">
        <f t="shared" si="8"/>
        <v>0</v>
      </c>
      <c r="O24" s="31">
        <f t="shared" si="8"/>
        <v>0</v>
      </c>
    </row>
    <row r="25" spans="2:16" ht="12" thickTop="1" x14ac:dyDescent="0.2">
      <c r="B25" s="32" t="s">
        <v>118</v>
      </c>
      <c r="C25" s="33">
        <f t="shared" si="6"/>
        <v>154996359.99000943</v>
      </c>
      <c r="D25" s="33">
        <f t="shared" ref="D25:O25" si="9">SUM(D21,D24)</f>
        <v>0</v>
      </c>
      <c r="E25" s="33">
        <f t="shared" si="9"/>
        <v>31654039.220620431</v>
      </c>
      <c r="F25" s="33">
        <f t="shared" si="9"/>
        <v>31522246.289287228</v>
      </c>
      <c r="G25" s="33">
        <f t="shared" si="9"/>
        <v>31036105.783990908</v>
      </c>
      <c r="H25" s="33">
        <f t="shared" si="9"/>
        <v>30683564.337922428</v>
      </c>
      <c r="I25" s="33">
        <f t="shared" si="9"/>
        <v>30100404.35818845</v>
      </c>
      <c r="J25" s="33">
        <f t="shared" si="9"/>
        <v>0</v>
      </c>
      <c r="K25" s="33">
        <f t="shared" si="9"/>
        <v>0</v>
      </c>
      <c r="L25" s="33">
        <f t="shared" si="9"/>
        <v>0</v>
      </c>
      <c r="M25" s="33">
        <f t="shared" si="9"/>
        <v>0</v>
      </c>
      <c r="N25" s="33">
        <f t="shared" si="9"/>
        <v>0</v>
      </c>
      <c r="O25" s="33">
        <f t="shared" si="9"/>
        <v>0</v>
      </c>
    </row>
    <row r="28" spans="2:16" x14ac:dyDescent="0.2">
      <c r="C28" s="4"/>
      <c r="D28" s="4" t="s">
        <v>13</v>
      </c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</row>
    <row r="29" spans="2:16" x14ac:dyDescent="0.2">
      <c r="B29" s="5" t="s">
        <v>130</v>
      </c>
      <c r="C29" s="5"/>
      <c r="D29" s="4">
        <v>1</v>
      </c>
      <c r="E29" s="4">
        <v>2</v>
      </c>
      <c r="F29" s="4">
        <v>3</v>
      </c>
      <c r="G29" s="4">
        <v>4</v>
      </c>
      <c r="H29" s="4">
        <v>5</v>
      </c>
      <c r="I29" s="4">
        <v>6</v>
      </c>
      <c r="J29" s="4">
        <v>7</v>
      </c>
      <c r="K29" s="4">
        <v>8</v>
      </c>
      <c r="L29" s="4">
        <v>9</v>
      </c>
      <c r="M29" s="4">
        <v>10</v>
      </c>
      <c r="N29" s="4">
        <v>11</v>
      </c>
      <c r="O29" s="4">
        <v>12</v>
      </c>
    </row>
    <row r="30" spans="2:16" x14ac:dyDescent="0.2">
      <c r="B30" s="7" t="s">
        <v>95</v>
      </c>
      <c r="C30" s="7" t="s">
        <v>12</v>
      </c>
      <c r="D30" s="29">
        <f t="shared" ref="D30:O30" si="10">D17</f>
        <v>2022</v>
      </c>
      <c r="E30" s="29">
        <f t="shared" si="10"/>
        <v>2023</v>
      </c>
      <c r="F30" s="29">
        <f t="shared" si="10"/>
        <v>2024</v>
      </c>
      <c r="G30" s="29">
        <f t="shared" si="10"/>
        <v>2025</v>
      </c>
      <c r="H30" s="29">
        <f t="shared" si="10"/>
        <v>2026</v>
      </c>
      <c r="I30" s="29">
        <f t="shared" si="10"/>
        <v>2027</v>
      </c>
      <c r="J30" s="29">
        <f t="shared" si="10"/>
        <v>2028</v>
      </c>
      <c r="K30" s="29">
        <f t="shared" si="10"/>
        <v>2029</v>
      </c>
      <c r="L30" s="29">
        <f t="shared" si="10"/>
        <v>2030</v>
      </c>
      <c r="M30" s="29">
        <f t="shared" si="10"/>
        <v>2031</v>
      </c>
      <c r="N30" s="29">
        <f t="shared" si="10"/>
        <v>2032</v>
      </c>
      <c r="O30" s="29">
        <f t="shared" si="10"/>
        <v>2033</v>
      </c>
    </row>
    <row r="31" spans="2:16" x14ac:dyDescent="0.2">
      <c r="B31" s="4" t="s">
        <v>114</v>
      </c>
      <c r="C31" s="9">
        <f t="shared" ref="C31:C38" si="11">SUM(D31:O31)</f>
        <v>0</v>
      </c>
      <c r="D31" s="11">
        <f>D18-D5</f>
        <v>0</v>
      </c>
      <c r="E31" s="11">
        <f t="shared" ref="E31:O31" si="12">E18-E5</f>
        <v>0</v>
      </c>
      <c r="F31" s="11">
        <f t="shared" si="12"/>
        <v>0</v>
      </c>
      <c r="G31" s="11">
        <f t="shared" si="12"/>
        <v>0</v>
      </c>
      <c r="H31" s="11">
        <f t="shared" si="12"/>
        <v>0</v>
      </c>
      <c r="I31" s="11">
        <f t="shared" si="12"/>
        <v>0</v>
      </c>
      <c r="J31" s="11">
        <f>J18-J5</f>
        <v>0</v>
      </c>
      <c r="K31" s="11">
        <f t="shared" si="12"/>
        <v>0</v>
      </c>
      <c r="L31" s="11">
        <f t="shared" si="12"/>
        <v>0</v>
      </c>
      <c r="M31" s="11">
        <f t="shared" si="12"/>
        <v>0</v>
      </c>
      <c r="N31" s="11">
        <f t="shared" si="12"/>
        <v>0</v>
      </c>
      <c r="O31" s="11">
        <f t="shared" si="12"/>
        <v>0</v>
      </c>
    </row>
    <row r="32" spans="2:16" x14ac:dyDescent="0.2">
      <c r="B32" s="4" t="s">
        <v>115</v>
      </c>
      <c r="C32" s="9">
        <f t="shared" si="11"/>
        <v>0</v>
      </c>
      <c r="D32" s="11">
        <f>D19-D6</f>
        <v>0</v>
      </c>
      <c r="E32" s="11">
        <f t="shared" ref="E32:O32" si="13">E19-E6</f>
        <v>0</v>
      </c>
      <c r="F32" s="11">
        <f t="shared" si="13"/>
        <v>0</v>
      </c>
      <c r="G32" s="11">
        <f t="shared" si="13"/>
        <v>0</v>
      </c>
      <c r="H32" s="11">
        <f t="shared" si="13"/>
        <v>0</v>
      </c>
      <c r="I32" s="11">
        <f t="shared" si="13"/>
        <v>0</v>
      </c>
      <c r="J32" s="11">
        <f t="shared" si="13"/>
        <v>0</v>
      </c>
      <c r="K32" s="11">
        <f t="shared" si="13"/>
        <v>0</v>
      </c>
      <c r="L32" s="11">
        <f t="shared" si="13"/>
        <v>0</v>
      </c>
      <c r="M32" s="11">
        <f t="shared" si="13"/>
        <v>0</v>
      </c>
      <c r="N32" s="11">
        <f t="shared" si="13"/>
        <v>0</v>
      </c>
      <c r="O32" s="11">
        <f t="shared" si="13"/>
        <v>0</v>
      </c>
    </row>
    <row r="33" spans="2:16" x14ac:dyDescent="0.2">
      <c r="B33" s="4" t="s">
        <v>67</v>
      </c>
      <c r="C33" s="9">
        <f t="shared" si="11"/>
        <v>0</v>
      </c>
      <c r="D33" s="11">
        <f>D20-D7</f>
        <v>0</v>
      </c>
      <c r="E33" s="11">
        <f t="shared" ref="E33:O33" si="14">E20-E7</f>
        <v>0</v>
      </c>
      <c r="F33" s="11">
        <f t="shared" si="14"/>
        <v>0</v>
      </c>
      <c r="G33" s="11">
        <f t="shared" si="14"/>
        <v>0</v>
      </c>
      <c r="H33" s="11">
        <f t="shared" si="14"/>
        <v>0</v>
      </c>
      <c r="I33" s="11">
        <f t="shared" si="14"/>
        <v>0</v>
      </c>
      <c r="J33" s="11">
        <f t="shared" si="14"/>
        <v>0</v>
      </c>
      <c r="K33" s="11">
        <f t="shared" si="14"/>
        <v>0</v>
      </c>
      <c r="L33" s="11">
        <f t="shared" si="14"/>
        <v>0</v>
      </c>
      <c r="M33" s="11">
        <f t="shared" si="14"/>
        <v>0</v>
      </c>
      <c r="N33" s="11">
        <f t="shared" si="14"/>
        <v>0</v>
      </c>
      <c r="O33" s="11">
        <f t="shared" si="14"/>
        <v>0</v>
      </c>
    </row>
    <row r="34" spans="2:16" x14ac:dyDescent="0.2">
      <c r="B34" s="5" t="s">
        <v>116</v>
      </c>
      <c r="C34" s="15">
        <f t="shared" si="11"/>
        <v>0</v>
      </c>
      <c r="D34" s="15">
        <f>SUM(D31:D33)</f>
        <v>0</v>
      </c>
      <c r="E34" s="15">
        <f t="shared" ref="E34:O34" si="15">SUM(E31:E33)</f>
        <v>0</v>
      </c>
      <c r="F34" s="15">
        <f t="shared" si="15"/>
        <v>0</v>
      </c>
      <c r="G34" s="15">
        <f t="shared" si="15"/>
        <v>0</v>
      </c>
      <c r="H34" s="15">
        <f t="shared" si="15"/>
        <v>0</v>
      </c>
      <c r="I34" s="15">
        <f t="shared" si="15"/>
        <v>0</v>
      </c>
      <c r="J34" s="15">
        <f t="shared" si="15"/>
        <v>0</v>
      </c>
      <c r="K34" s="15">
        <f t="shared" si="15"/>
        <v>0</v>
      </c>
      <c r="L34" s="15">
        <f t="shared" si="15"/>
        <v>0</v>
      </c>
      <c r="M34" s="15">
        <f t="shared" si="15"/>
        <v>0</v>
      </c>
      <c r="N34" s="15">
        <f t="shared" si="15"/>
        <v>0</v>
      </c>
      <c r="O34" s="15">
        <f t="shared" si="15"/>
        <v>0</v>
      </c>
    </row>
    <row r="35" spans="2:16" x14ac:dyDescent="0.2">
      <c r="B35" s="17" t="s">
        <v>120</v>
      </c>
      <c r="C35" s="9">
        <f t="shared" si="11"/>
        <v>141058609.99000943</v>
      </c>
      <c r="D35" s="11">
        <f>D22-D9</f>
        <v>0</v>
      </c>
      <c r="E35" s="11">
        <f t="shared" ref="E35:O35" si="16">E22-E9</f>
        <v>29054967.220620431</v>
      </c>
      <c r="F35" s="11">
        <f t="shared" si="16"/>
        <v>28832331.289287228</v>
      </c>
      <c r="G35" s="11">
        <f t="shared" si="16"/>
        <v>28251668.783990908</v>
      </c>
      <c r="H35" s="11">
        <f t="shared" si="16"/>
        <v>27801775.337922428</v>
      </c>
      <c r="I35" s="11">
        <f t="shared" si="16"/>
        <v>27117867.35818845</v>
      </c>
      <c r="J35" s="11">
        <f t="shared" si="16"/>
        <v>0</v>
      </c>
      <c r="K35" s="11">
        <f t="shared" si="16"/>
        <v>0</v>
      </c>
      <c r="L35" s="11">
        <f t="shared" si="16"/>
        <v>0</v>
      </c>
      <c r="M35" s="11">
        <f t="shared" si="16"/>
        <v>0</v>
      </c>
      <c r="N35" s="11">
        <f t="shared" si="16"/>
        <v>0</v>
      </c>
      <c r="O35" s="11">
        <f t="shared" si="16"/>
        <v>0</v>
      </c>
    </row>
    <row r="36" spans="2:16" x14ac:dyDescent="0.2">
      <c r="B36" s="17" t="s">
        <v>123</v>
      </c>
      <c r="C36" s="9">
        <f t="shared" si="11"/>
        <v>0</v>
      </c>
      <c r="D36" s="11">
        <f>D23-D10</f>
        <v>0</v>
      </c>
      <c r="E36" s="11">
        <f t="shared" ref="E36:O36" si="17">E23-E10</f>
        <v>0</v>
      </c>
      <c r="F36" s="11">
        <f t="shared" si="17"/>
        <v>0</v>
      </c>
      <c r="G36" s="11">
        <f t="shared" si="17"/>
        <v>0</v>
      </c>
      <c r="H36" s="11">
        <f t="shared" si="17"/>
        <v>0</v>
      </c>
      <c r="I36" s="11">
        <f t="shared" si="17"/>
        <v>0</v>
      </c>
      <c r="J36" s="11">
        <f t="shared" si="17"/>
        <v>0</v>
      </c>
      <c r="K36" s="11">
        <f t="shared" si="17"/>
        <v>0</v>
      </c>
      <c r="L36" s="11">
        <f t="shared" si="17"/>
        <v>0</v>
      </c>
      <c r="M36" s="11">
        <f t="shared" si="17"/>
        <v>0</v>
      </c>
      <c r="N36" s="11">
        <f t="shared" si="17"/>
        <v>0</v>
      </c>
      <c r="O36" s="11">
        <f t="shared" si="17"/>
        <v>0</v>
      </c>
    </row>
    <row r="37" spans="2:16" ht="12" thickBot="1" x14ac:dyDescent="0.25">
      <c r="B37" s="30" t="s">
        <v>119</v>
      </c>
      <c r="C37" s="31">
        <f t="shared" si="11"/>
        <v>141058609.99000943</v>
      </c>
      <c r="D37" s="31">
        <f>SUM(D35:D36)</f>
        <v>0</v>
      </c>
      <c r="E37" s="31">
        <f t="shared" ref="E37:O37" si="18">SUM(E35:E36)</f>
        <v>29054967.220620431</v>
      </c>
      <c r="F37" s="31">
        <f t="shared" si="18"/>
        <v>28832331.289287228</v>
      </c>
      <c r="G37" s="31">
        <f t="shared" si="18"/>
        <v>28251668.783990908</v>
      </c>
      <c r="H37" s="31">
        <f t="shared" si="18"/>
        <v>27801775.337922428</v>
      </c>
      <c r="I37" s="31">
        <f t="shared" si="18"/>
        <v>27117867.35818845</v>
      </c>
      <c r="J37" s="31">
        <f t="shared" si="18"/>
        <v>0</v>
      </c>
      <c r="K37" s="31">
        <f t="shared" si="18"/>
        <v>0</v>
      </c>
      <c r="L37" s="31">
        <f t="shared" si="18"/>
        <v>0</v>
      </c>
      <c r="M37" s="31">
        <f t="shared" si="18"/>
        <v>0</v>
      </c>
      <c r="N37" s="31">
        <f t="shared" si="18"/>
        <v>0</v>
      </c>
      <c r="O37" s="31">
        <f t="shared" si="18"/>
        <v>0</v>
      </c>
    </row>
    <row r="38" spans="2:16" ht="12" thickTop="1" x14ac:dyDescent="0.2">
      <c r="B38" s="32" t="s">
        <v>118</v>
      </c>
      <c r="C38" s="33">
        <f t="shared" si="11"/>
        <v>141058609.99000943</v>
      </c>
      <c r="D38" s="33">
        <f>SUM(D34,D37)</f>
        <v>0</v>
      </c>
      <c r="E38" s="33">
        <f t="shared" ref="E38:O38" si="19">SUM(E34,E37)</f>
        <v>29054967.220620431</v>
      </c>
      <c r="F38" s="33">
        <f t="shared" si="19"/>
        <v>28832331.289287228</v>
      </c>
      <c r="G38" s="33">
        <f t="shared" si="19"/>
        <v>28251668.783990908</v>
      </c>
      <c r="H38" s="33">
        <f t="shared" si="19"/>
        <v>27801775.337922428</v>
      </c>
      <c r="I38" s="33">
        <f t="shared" si="19"/>
        <v>27117867.35818845</v>
      </c>
      <c r="J38" s="33">
        <f t="shared" si="19"/>
        <v>0</v>
      </c>
      <c r="K38" s="33">
        <f t="shared" si="19"/>
        <v>0</v>
      </c>
      <c r="L38" s="33">
        <f t="shared" si="19"/>
        <v>0</v>
      </c>
      <c r="M38" s="33">
        <f t="shared" si="19"/>
        <v>0</v>
      </c>
      <c r="N38" s="33">
        <f t="shared" si="19"/>
        <v>0</v>
      </c>
      <c r="O38" s="33">
        <f t="shared" si="19"/>
        <v>0</v>
      </c>
    </row>
    <row r="41" spans="2:16" x14ac:dyDescent="0.2">
      <c r="C41" s="4"/>
      <c r="D41" s="4" t="s">
        <v>13</v>
      </c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</row>
    <row r="42" spans="2:16" x14ac:dyDescent="0.2">
      <c r="B42" s="5" t="s">
        <v>131</v>
      </c>
      <c r="C42" s="5"/>
      <c r="D42" s="4">
        <v>1</v>
      </c>
      <c r="E42" s="4">
        <v>2</v>
      </c>
      <c r="F42" s="4">
        <v>3</v>
      </c>
      <c r="G42" s="4">
        <v>4</v>
      </c>
      <c r="H42" s="4">
        <v>5</v>
      </c>
      <c r="I42" s="4">
        <v>6</v>
      </c>
      <c r="J42" s="4">
        <v>7</v>
      </c>
      <c r="K42" s="4">
        <v>8</v>
      </c>
      <c r="L42" s="4">
        <v>9</v>
      </c>
      <c r="M42" s="4">
        <v>10</v>
      </c>
      <c r="N42" s="4">
        <v>11</v>
      </c>
      <c r="O42" s="4">
        <v>12</v>
      </c>
    </row>
    <row r="43" spans="2:16" x14ac:dyDescent="0.2">
      <c r="B43" s="7" t="s">
        <v>95</v>
      </c>
      <c r="C43" s="7" t="s">
        <v>12</v>
      </c>
      <c r="D43" s="29">
        <f>D30</f>
        <v>2022</v>
      </c>
      <c r="E43" s="29">
        <f>E30</f>
        <v>2023</v>
      </c>
      <c r="F43" s="29">
        <f>F30</f>
        <v>2024</v>
      </c>
      <c r="G43" s="29">
        <f>G30</f>
        <v>2025</v>
      </c>
      <c r="H43" s="29">
        <f t="shared" ref="H43:O43" si="20">H30</f>
        <v>2026</v>
      </c>
      <c r="I43" s="29">
        <f t="shared" si="20"/>
        <v>2027</v>
      </c>
      <c r="J43" s="29">
        <f t="shared" si="20"/>
        <v>2028</v>
      </c>
      <c r="K43" s="29">
        <f t="shared" si="20"/>
        <v>2029</v>
      </c>
      <c r="L43" s="29">
        <f t="shared" si="20"/>
        <v>2030</v>
      </c>
      <c r="M43" s="29">
        <f t="shared" si="20"/>
        <v>2031</v>
      </c>
      <c r="N43" s="29">
        <f t="shared" si="20"/>
        <v>2032</v>
      </c>
      <c r="O43" s="29">
        <f t="shared" si="20"/>
        <v>2033</v>
      </c>
    </row>
    <row r="44" spans="2:16" x14ac:dyDescent="0.2">
      <c r="B44" s="4" t="s">
        <v>114</v>
      </c>
      <c r="C44" s="9">
        <f t="shared" ref="C44:C51" si="21">SUM(D44:O44)</f>
        <v>0</v>
      </c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3" t="s">
        <v>128</v>
      </c>
    </row>
    <row r="45" spans="2:16" x14ac:dyDescent="0.2">
      <c r="B45" s="4" t="s">
        <v>115</v>
      </c>
      <c r="C45" s="9">
        <f t="shared" si="21"/>
        <v>0</v>
      </c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3" t="s">
        <v>132</v>
      </c>
    </row>
    <row r="46" spans="2:16" x14ac:dyDescent="0.2">
      <c r="B46" s="4" t="s">
        <v>67</v>
      </c>
      <c r="C46" s="9">
        <f t="shared" si="21"/>
        <v>0</v>
      </c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3" t="s">
        <v>126</v>
      </c>
    </row>
    <row r="47" spans="2:16" x14ac:dyDescent="0.2">
      <c r="B47" s="5" t="s">
        <v>116</v>
      </c>
      <c r="C47" s="15">
        <f t="shared" si="21"/>
        <v>0</v>
      </c>
      <c r="D47" s="15">
        <f>SUM(D44:D46)</f>
        <v>0</v>
      </c>
      <c r="E47" s="15">
        <f t="shared" ref="E47:O47" si="22">SUM(E44:E46)</f>
        <v>0</v>
      </c>
      <c r="F47" s="15">
        <f t="shared" si="22"/>
        <v>0</v>
      </c>
      <c r="G47" s="15">
        <f t="shared" si="22"/>
        <v>0</v>
      </c>
      <c r="H47" s="15">
        <f t="shared" si="22"/>
        <v>0</v>
      </c>
      <c r="I47" s="15">
        <f t="shared" si="22"/>
        <v>0</v>
      </c>
      <c r="J47" s="15">
        <f t="shared" si="22"/>
        <v>0</v>
      </c>
      <c r="K47" s="15">
        <f t="shared" si="22"/>
        <v>0</v>
      </c>
      <c r="L47" s="15">
        <f t="shared" si="22"/>
        <v>0</v>
      </c>
      <c r="M47" s="15">
        <f t="shared" si="22"/>
        <v>0</v>
      </c>
      <c r="N47" s="15">
        <f t="shared" si="22"/>
        <v>0</v>
      </c>
      <c r="O47" s="15">
        <f t="shared" si="22"/>
        <v>0</v>
      </c>
    </row>
    <row r="48" spans="2:16" x14ac:dyDescent="0.2">
      <c r="B48" s="17" t="s">
        <v>120</v>
      </c>
      <c r="C48" s="9">
        <f t="shared" si="21"/>
        <v>124131576.79120834</v>
      </c>
      <c r="D48" s="11">
        <f>D35*(Parametre!$D$75*Parametre!$C$62+Parametre!$E$75*Parametre!$C$63+Parametre!$F$75*Parametre!$C$64)</f>
        <v>0</v>
      </c>
      <c r="E48" s="11">
        <f>E35*(Parametre!$D$75*Parametre!$C$62+Parametre!$E$75*Parametre!$C$63+Parametre!$F$75*Parametre!$C$64)</f>
        <v>25568371.154145982</v>
      </c>
      <c r="F48" s="11">
        <f>F35*(Parametre!$D$75*Parametre!$C$62+Parametre!$E$75*Parametre!$C$63+Parametre!$F$75*Parametre!$C$64)</f>
        <v>25372451.534572765</v>
      </c>
      <c r="G48" s="11">
        <f>G35*(Parametre!$D$75*Parametre!$C$62+Parametre!$E$75*Parametre!$C$63+Parametre!$F$75*Parametre!$C$64)</f>
        <v>24861468.529912002</v>
      </c>
      <c r="H48" s="11">
        <f>H35*(Parametre!$D$75*Parametre!$C$62+Parametre!$E$75*Parametre!$C$63+Parametre!$F$75*Parametre!$C$64)</f>
        <v>24465562.297371741</v>
      </c>
      <c r="I48" s="11">
        <f>I35*(Parametre!$D$75*Parametre!$C$62+Parametre!$E$75*Parametre!$C$63+Parametre!$F$75*Parametre!$C$64)</f>
        <v>23863723.275205839</v>
      </c>
      <c r="J48" s="11">
        <f>J35*(Parametre!$D$75*Parametre!$C$62+Parametre!$E$75*Parametre!$C$63+Parametre!$F$75*Parametre!$C$64)</f>
        <v>0</v>
      </c>
      <c r="K48" s="11">
        <f>K35*(Parametre!$D$75*Parametre!$C$62+Parametre!$E$75*Parametre!$C$63+Parametre!$F$75*Parametre!$C$64)</f>
        <v>0</v>
      </c>
      <c r="L48" s="11">
        <f>L35*(Parametre!$D$75*Parametre!$C$62+Parametre!$E$75*Parametre!$C$63+Parametre!$F$75*Parametre!$C$64)</f>
        <v>0</v>
      </c>
      <c r="M48" s="11">
        <f>M35*(Parametre!$D$75*Parametre!$C$62+Parametre!$E$75*Parametre!$C$63+Parametre!$F$75*Parametre!$C$64)</f>
        <v>0</v>
      </c>
      <c r="N48" s="11">
        <f>N35*(Parametre!$D$75*Parametre!$C$62+Parametre!$E$75*Parametre!$C$63+Parametre!$F$75*Parametre!$C$64)</f>
        <v>0</v>
      </c>
      <c r="O48" s="11">
        <f>O35*(Parametre!$D$75*Parametre!$C$62+Parametre!$E$75*Parametre!$C$63+Parametre!$F$75*Parametre!$C$64)</f>
        <v>0</v>
      </c>
      <c r="P48" s="3" t="s">
        <v>133</v>
      </c>
    </row>
    <row r="49" spans="2:16" x14ac:dyDescent="0.2">
      <c r="B49" s="17" t="s">
        <v>123</v>
      </c>
      <c r="C49" s="9">
        <f t="shared" si="21"/>
        <v>0</v>
      </c>
      <c r="D49" s="11">
        <f>D36*(Parametre!$D$75*Parametre!$C$62+Parametre!$E$75*Parametre!$C$63+Parametre!$F$75*Parametre!$C$64)</f>
        <v>0</v>
      </c>
      <c r="E49" s="11">
        <f>E36*(Parametre!$D$75*Parametre!$C$62+Parametre!$E$75*Parametre!$C$63+Parametre!$F$75*Parametre!$C$64)</f>
        <v>0</v>
      </c>
      <c r="F49" s="11">
        <f>F36*(Parametre!$D$75*Parametre!$C$62+Parametre!$E$75*Parametre!$C$63+Parametre!$F$75*Parametre!$C$64)</f>
        <v>0</v>
      </c>
      <c r="G49" s="11">
        <f>G36*(Parametre!$D$75*Parametre!$C$62+Parametre!$E$75*Parametre!$C$63+Parametre!$F$75*Parametre!$C$64)</f>
        <v>0</v>
      </c>
      <c r="H49" s="11">
        <f>H36*(Parametre!$D$75*Parametre!$C$62+Parametre!$E$75*Parametre!$C$63+Parametre!$F$75*Parametre!$C$64)</f>
        <v>0</v>
      </c>
      <c r="I49" s="11">
        <f>I36*(Parametre!$D$75*Parametre!$C$62+Parametre!$E$75*Parametre!$C$63+Parametre!$F$75*Parametre!$C$64)</f>
        <v>0</v>
      </c>
      <c r="J49" s="11">
        <f>J36*(Parametre!$D$75*Parametre!$C$62+Parametre!$E$75*Parametre!$C$63+Parametre!$F$75*Parametre!$C$64)</f>
        <v>0</v>
      </c>
      <c r="K49" s="11">
        <f>K36*(Parametre!$D$75*Parametre!$C$62+Parametre!$E$75*Parametre!$C$63+Parametre!$F$75*Parametre!$C$64)</f>
        <v>0</v>
      </c>
      <c r="L49" s="11">
        <f>L36*(Parametre!$D$75*Parametre!$C$62+Parametre!$E$75*Parametre!$C$63+Parametre!$F$75*Parametre!$C$64)</f>
        <v>0</v>
      </c>
      <c r="M49" s="11">
        <f>M36*(Parametre!$D$75*Parametre!$C$62+Parametre!$E$75*Parametre!$C$63+Parametre!$F$75*Parametre!$C$64)</f>
        <v>0</v>
      </c>
      <c r="N49" s="11">
        <f>N36*(Parametre!$D$75*Parametre!$C$62+Parametre!$E$75*Parametre!$C$63+Parametre!$F$75*Parametre!$C$64)</f>
        <v>0</v>
      </c>
      <c r="O49" s="11">
        <f>O36*(Parametre!$D$75*Parametre!$C$62+Parametre!$E$75*Parametre!$C$63+Parametre!$F$75*Parametre!$C$64)</f>
        <v>0</v>
      </c>
      <c r="P49" s="3" t="s">
        <v>134</v>
      </c>
    </row>
    <row r="50" spans="2:16" ht="12" thickBot="1" x14ac:dyDescent="0.25">
      <c r="B50" s="30" t="s">
        <v>119</v>
      </c>
      <c r="C50" s="31">
        <f t="shared" si="21"/>
        <v>124131576.79120834</v>
      </c>
      <c r="D50" s="31">
        <f>SUM(D48:D49)</f>
        <v>0</v>
      </c>
      <c r="E50" s="31">
        <f t="shared" ref="E50:O50" si="23">SUM(E48:E49)</f>
        <v>25568371.154145982</v>
      </c>
      <c r="F50" s="31">
        <f t="shared" si="23"/>
        <v>25372451.534572765</v>
      </c>
      <c r="G50" s="31">
        <f t="shared" si="23"/>
        <v>24861468.529912002</v>
      </c>
      <c r="H50" s="31">
        <f t="shared" si="23"/>
        <v>24465562.297371741</v>
      </c>
      <c r="I50" s="31">
        <f t="shared" si="23"/>
        <v>23863723.275205839</v>
      </c>
      <c r="J50" s="31">
        <f t="shared" si="23"/>
        <v>0</v>
      </c>
      <c r="K50" s="31">
        <f t="shared" si="23"/>
        <v>0</v>
      </c>
      <c r="L50" s="31">
        <f t="shared" si="23"/>
        <v>0</v>
      </c>
      <c r="M50" s="31">
        <f t="shared" si="23"/>
        <v>0</v>
      </c>
      <c r="N50" s="31">
        <f t="shared" si="23"/>
        <v>0</v>
      </c>
      <c r="O50" s="31">
        <f t="shared" si="23"/>
        <v>0</v>
      </c>
    </row>
    <row r="51" spans="2:16" ht="12" thickTop="1" x14ac:dyDescent="0.2">
      <c r="B51" s="32" t="s">
        <v>118</v>
      </c>
      <c r="C51" s="33">
        <f t="shared" si="21"/>
        <v>124131576.79120834</v>
      </c>
      <c r="D51" s="33">
        <f>SUM(D47,D50)</f>
        <v>0</v>
      </c>
      <c r="E51" s="33">
        <f t="shared" ref="E51:O51" si="24">SUM(E47,E50)</f>
        <v>25568371.154145982</v>
      </c>
      <c r="F51" s="33">
        <f t="shared" si="24"/>
        <v>25372451.534572765</v>
      </c>
      <c r="G51" s="33">
        <f t="shared" si="24"/>
        <v>24861468.529912002</v>
      </c>
      <c r="H51" s="33">
        <f t="shared" si="24"/>
        <v>24465562.297371741</v>
      </c>
      <c r="I51" s="33">
        <f t="shared" si="24"/>
        <v>23863723.275205839</v>
      </c>
      <c r="J51" s="33">
        <f t="shared" si="24"/>
        <v>0</v>
      </c>
      <c r="K51" s="33">
        <f t="shared" si="24"/>
        <v>0</v>
      </c>
      <c r="L51" s="33">
        <f t="shared" si="24"/>
        <v>0</v>
      </c>
      <c r="M51" s="33">
        <f t="shared" si="24"/>
        <v>0</v>
      </c>
      <c r="N51" s="33">
        <f t="shared" si="24"/>
        <v>0</v>
      </c>
      <c r="O51" s="33">
        <f t="shared" si="24"/>
        <v>0</v>
      </c>
    </row>
  </sheetData>
  <phoneticPr fontId="2" type="noConversion"/>
  <pageMargins left="0.19687499999999999" right="0.26250000000000001" top="0.88958333333333328" bottom="0.7" header="0.5" footer="0.5"/>
  <pageSetup paperSize="9" scale="70" orientation="landscape" r:id="rId1"/>
  <headerFooter alignWithMargins="0">
    <oddHeader>&amp;LPríloha 7: Štandardné tabuľky - Cesty
&amp;"Arial,Tučné"&amp;12 03 Náklady na prevádzku a údržbu</oddHeader>
    <oddFooter>Strana &amp;P z &amp;N</oddFooter>
  </headerFooter>
  <ignoredErrors>
    <ignoredError sqref="D21 D8" formulaRange="1"/>
    <ignoredError sqref="D34:O34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1"/>
  </sheetPr>
  <dimension ref="B2:P23"/>
  <sheetViews>
    <sheetView zoomScaleNormal="100" workbookViewId="0">
      <selection activeCell="C21" sqref="C21:I23"/>
    </sheetView>
  </sheetViews>
  <sheetFormatPr defaultRowHeight="11.25" x14ac:dyDescent="0.2"/>
  <cols>
    <col min="1" max="1" width="2.7109375" style="3" customWidth="1"/>
    <col min="2" max="2" width="31.28515625" style="3" customWidth="1"/>
    <col min="3" max="3" width="11.42578125" style="3" bestFit="1" customWidth="1"/>
    <col min="4" max="4" width="9.7109375" style="3" customWidth="1"/>
    <col min="5" max="14" width="10.140625" style="3" bestFit="1" customWidth="1"/>
    <col min="15" max="15" width="9.5703125" style="3" bestFit="1" customWidth="1"/>
    <col min="16" max="16384" width="9.140625" style="3"/>
  </cols>
  <sheetData>
    <row r="2" spans="2:16" x14ac:dyDescent="0.2">
      <c r="B2" s="4"/>
      <c r="C2" s="4"/>
      <c r="D2" s="4" t="s">
        <v>13</v>
      </c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2:16" x14ac:dyDescent="0.2">
      <c r="B3" s="5" t="s">
        <v>16</v>
      </c>
      <c r="C3" s="5"/>
      <c r="D3" s="6">
        <v>1</v>
      </c>
      <c r="E3" s="6">
        <v>2</v>
      </c>
      <c r="F3" s="6">
        <v>3</v>
      </c>
      <c r="G3" s="6">
        <v>4</v>
      </c>
      <c r="H3" s="6">
        <v>5</v>
      </c>
      <c r="I3" s="6">
        <v>6</v>
      </c>
      <c r="J3" s="6">
        <v>7</v>
      </c>
      <c r="K3" s="6">
        <v>8</v>
      </c>
      <c r="L3" s="6">
        <v>9</v>
      </c>
      <c r="M3" s="6">
        <v>10</v>
      </c>
      <c r="N3" s="6">
        <v>11</v>
      </c>
      <c r="O3" s="6">
        <v>12</v>
      </c>
    </row>
    <row r="4" spans="2:16" x14ac:dyDescent="0.2">
      <c r="B4" s="7"/>
      <c r="C4" s="7" t="s">
        <v>12</v>
      </c>
      <c r="D4" s="8">
        <v>2022</v>
      </c>
      <c r="E4" s="8">
        <f>$D$4+D3</f>
        <v>2023</v>
      </c>
      <c r="F4" s="8">
        <f>$D$4+E3</f>
        <v>2024</v>
      </c>
      <c r="G4" s="8">
        <f t="shared" ref="G4:O4" si="0">$D$4+F3</f>
        <v>2025</v>
      </c>
      <c r="H4" s="8">
        <f t="shared" si="0"/>
        <v>2026</v>
      </c>
      <c r="I4" s="8">
        <f t="shared" si="0"/>
        <v>2027</v>
      </c>
      <c r="J4" s="8">
        <f t="shared" si="0"/>
        <v>2028</v>
      </c>
      <c r="K4" s="8">
        <f t="shared" si="0"/>
        <v>2029</v>
      </c>
      <c r="L4" s="8">
        <f t="shared" si="0"/>
        <v>2030</v>
      </c>
      <c r="M4" s="8">
        <f t="shared" si="0"/>
        <v>2031</v>
      </c>
      <c r="N4" s="8">
        <f t="shared" si="0"/>
        <v>2032</v>
      </c>
      <c r="O4" s="8">
        <f t="shared" si="0"/>
        <v>2033</v>
      </c>
    </row>
    <row r="5" spans="2:16" x14ac:dyDescent="0.2">
      <c r="B5" s="4" t="s">
        <v>121</v>
      </c>
      <c r="C5" s="9">
        <f>SUM(D5:O5)</f>
        <v>0</v>
      </c>
      <c r="D5" s="10">
        <v>0</v>
      </c>
      <c r="E5" s="10">
        <v>0</v>
      </c>
      <c r="F5" s="10">
        <v>0</v>
      </c>
      <c r="G5" s="10">
        <v>0</v>
      </c>
      <c r="H5" s="10">
        <v>0</v>
      </c>
      <c r="I5" s="10">
        <v>0</v>
      </c>
      <c r="J5" s="10">
        <v>0</v>
      </c>
      <c r="K5" s="10">
        <v>0</v>
      </c>
      <c r="L5" s="10">
        <v>0</v>
      </c>
      <c r="M5" s="10">
        <v>0</v>
      </c>
      <c r="N5" s="10">
        <v>0</v>
      </c>
      <c r="O5" s="10">
        <v>0</v>
      </c>
    </row>
    <row r="6" spans="2:16" x14ac:dyDescent="0.2">
      <c r="B6" s="4" t="s">
        <v>122</v>
      </c>
      <c r="C6" s="9">
        <f>SUM(D6:O6)</f>
        <v>492500000</v>
      </c>
      <c r="D6" s="10">
        <v>0</v>
      </c>
      <c r="E6" s="10">
        <f>[2]Sheet1!D$12*1000</f>
        <v>91840000</v>
      </c>
      <c r="F6" s="10">
        <f>[2]Sheet1!E$12*1000</f>
        <v>95050000</v>
      </c>
      <c r="G6" s="10">
        <f>[2]Sheet1!F$12*1000</f>
        <v>98390000</v>
      </c>
      <c r="H6" s="10">
        <f>[2]Sheet1!G$12*1000</f>
        <v>101830000</v>
      </c>
      <c r="I6" s="10">
        <f>[2]Sheet1!H$12*1000</f>
        <v>105390000</v>
      </c>
      <c r="J6" s="10"/>
      <c r="K6" s="10"/>
      <c r="L6" s="10"/>
      <c r="M6" s="10"/>
      <c r="N6" s="10"/>
      <c r="O6" s="10">
        <v>0</v>
      </c>
      <c r="P6" s="3" t="s">
        <v>351</v>
      </c>
    </row>
    <row r="7" spans="2:16" x14ac:dyDescent="0.2">
      <c r="B7" s="5" t="s">
        <v>14</v>
      </c>
      <c r="C7" s="15">
        <f>SUM(D7:O7)</f>
        <v>492500000</v>
      </c>
      <c r="D7" s="15">
        <f>SUM(D5:D6)</f>
        <v>0</v>
      </c>
      <c r="E7" s="15">
        <f t="shared" ref="E7:O7" si="1">SUM(E5:E6)</f>
        <v>91840000</v>
      </c>
      <c r="F7" s="15">
        <f t="shared" si="1"/>
        <v>95050000</v>
      </c>
      <c r="G7" s="15">
        <f t="shared" si="1"/>
        <v>98390000</v>
      </c>
      <c r="H7" s="15">
        <f t="shared" si="1"/>
        <v>101830000</v>
      </c>
      <c r="I7" s="15">
        <f t="shared" si="1"/>
        <v>105390000</v>
      </c>
      <c r="J7" s="15">
        <f t="shared" si="1"/>
        <v>0</v>
      </c>
      <c r="K7" s="15">
        <f t="shared" si="1"/>
        <v>0</v>
      </c>
      <c r="L7" s="15">
        <f t="shared" si="1"/>
        <v>0</v>
      </c>
      <c r="M7" s="15">
        <f t="shared" si="1"/>
        <v>0</v>
      </c>
      <c r="N7" s="15">
        <f t="shared" si="1"/>
        <v>0</v>
      </c>
      <c r="O7" s="15">
        <f t="shared" si="1"/>
        <v>0</v>
      </c>
    </row>
    <row r="10" spans="2:16" x14ac:dyDescent="0.2">
      <c r="B10" s="4"/>
      <c r="C10" s="4"/>
      <c r="D10" s="4" t="s">
        <v>13</v>
      </c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</row>
    <row r="11" spans="2:16" x14ac:dyDescent="0.2">
      <c r="B11" s="5" t="s">
        <v>15</v>
      </c>
      <c r="C11" s="5"/>
      <c r="D11" s="4">
        <v>1</v>
      </c>
      <c r="E11" s="4">
        <v>2</v>
      </c>
      <c r="F11" s="4">
        <v>3</v>
      </c>
      <c r="G11" s="4">
        <v>4</v>
      </c>
      <c r="H11" s="4">
        <v>5</v>
      </c>
      <c r="I11" s="4">
        <v>6</v>
      </c>
      <c r="J11" s="4">
        <v>7</v>
      </c>
      <c r="K11" s="4">
        <v>8</v>
      </c>
      <c r="L11" s="4">
        <v>9</v>
      </c>
      <c r="M11" s="4">
        <v>10</v>
      </c>
      <c r="N11" s="4">
        <v>11</v>
      </c>
      <c r="O11" s="4">
        <v>12</v>
      </c>
    </row>
    <row r="12" spans="2:16" x14ac:dyDescent="0.2">
      <c r="B12" s="7"/>
      <c r="C12" s="7" t="s">
        <v>12</v>
      </c>
      <c r="D12" s="29">
        <f>D4</f>
        <v>2022</v>
      </c>
      <c r="E12" s="29">
        <f>E4</f>
        <v>2023</v>
      </c>
      <c r="F12" s="29">
        <f>F4</f>
        <v>2024</v>
      </c>
      <c r="G12" s="29">
        <f t="shared" ref="G12:O12" si="2">G4</f>
        <v>2025</v>
      </c>
      <c r="H12" s="29">
        <f t="shared" si="2"/>
        <v>2026</v>
      </c>
      <c r="I12" s="29">
        <f t="shared" si="2"/>
        <v>2027</v>
      </c>
      <c r="J12" s="29">
        <f t="shared" si="2"/>
        <v>2028</v>
      </c>
      <c r="K12" s="29">
        <f t="shared" si="2"/>
        <v>2029</v>
      </c>
      <c r="L12" s="29">
        <f t="shared" si="2"/>
        <v>2030</v>
      </c>
      <c r="M12" s="29">
        <f t="shared" si="2"/>
        <v>2031</v>
      </c>
      <c r="N12" s="29">
        <f t="shared" si="2"/>
        <v>2032</v>
      </c>
      <c r="O12" s="29">
        <f t="shared" si="2"/>
        <v>2033</v>
      </c>
    </row>
    <row r="13" spans="2:16" x14ac:dyDescent="0.2">
      <c r="B13" s="4" t="s">
        <v>121</v>
      </c>
      <c r="C13" s="9">
        <f>SUM(D13:O13)</f>
        <v>1254560005.3384385</v>
      </c>
      <c r="D13" s="10">
        <v>0</v>
      </c>
      <c r="E13" s="10">
        <f>[3]Výber_mýta_P4Ba1O!I$16</f>
        <v>241807585.02806833</v>
      </c>
      <c r="F13" s="10">
        <f>[3]Výber_mýta_P4Ba1O!J$16</f>
        <v>246101013.80952594</v>
      </c>
      <c r="G13" s="10">
        <f>[3]Výber_mýta_P4Ba1O!K$16</f>
        <v>250555212.41166478</v>
      </c>
      <c r="H13" s="10">
        <f>[3]Výber_mýta_P4Ba1O!L$16</f>
        <v>256072390.1231077</v>
      </c>
      <c r="I13" s="10">
        <f>[3]Výber_mýta_P4Ba1O!M$16</f>
        <v>260023803.96607187</v>
      </c>
      <c r="J13" s="10"/>
      <c r="K13" s="10"/>
      <c r="L13" s="10"/>
      <c r="M13" s="10"/>
      <c r="N13" s="10"/>
      <c r="O13" s="10"/>
    </row>
    <row r="14" spans="2:16" x14ac:dyDescent="0.2">
      <c r="B14" s="4" t="s">
        <v>122</v>
      </c>
      <c r="C14" s="9">
        <f>SUM(D14:O14)</f>
        <v>0</v>
      </c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</row>
    <row r="15" spans="2:16" x14ac:dyDescent="0.2">
      <c r="B15" s="5" t="s">
        <v>14</v>
      </c>
      <c r="C15" s="15">
        <f>SUM(D15:O15)</f>
        <v>1254560005.3384385</v>
      </c>
      <c r="D15" s="15">
        <f>SUM(D13:D14)</f>
        <v>0</v>
      </c>
      <c r="E15" s="15">
        <f t="shared" ref="E15:O15" si="3">SUM(E13:E14)</f>
        <v>241807585.02806833</v>
      </c>
      <c r="F15" s="15">
        <f t="shared" si="3"/>
        <v>246101013.80952594</v>
      </c>
      <c r="G15" s="15">
        <f t="shared" si="3"/>
        <v>250555212.41166478</v>
      </c>
      <c r="H15" s="15">
        <f t="shared" si="3"/>
        <v>256072390.1231077</v>
      </c>
      <c r="I15" s="15">
        <f t="shared" si="3"/>
        <v>260023803.96607187</v>
      </c>
      <c r="J15" s="15">
        <f t="shared" si="3"/>
        <v>0</v>
      </c>
      <c r="K15" s="15">
        <f t="shared" si="3"/>
        <v>0</v>
      </c>
      <c r="L15" s="15">
        <f t="shared" si="3"/>
        <v>0</v>
      </c>
      <c r="M15" s="15">
        <f t="shared" si="3"/>
        <v>0</v>
      </c>
      <c r="N15" s="15">
        <f t="shared" si="3"/>
        <v>0</v>
      </c>
      <c r="O15" s="15">
        <f t="shared" si="3"/>
        <v>0</v>
      </c>
    </row>
    <row r="18" spans="2:15" x14ac:dyDescent="0.2">
      <c r="B18" s="4"/>
      <c r="C18" s="4"/>
      <c r="D18" s="4" t="s">
        <v>13</v>
      </c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</row>
    <row r="19" spans="2:15" x14ac:dyDescent="0.2">
      <c r="B19" s="5" t="s">
        <v>96</v>
      </c>
      <c r="C19" s="5"/>
      <c r="D19" s="4">
        <v>1</v>
      </c>
      <c r="E19" s="4">
        <v>2</v>
      </c>
      <c r="F19" s="4">
        <v>3</v>
      </c>
      <c r="G19" s="4">
        <v>4</v>
      </c>
      <c r="H19" s="4">
        <v>5</v>
      </c>
      <c r="I19" s="4">
        <v>6</v>
      </c>
      <c r="J19" s="4">
        <v>7</v>
      </c>
      <c r="K19" s="4">
        <v>8</v>
      </c>
      <c r="L19" s="4">
        <v>9</v>
      </c>
      <c r="M19" s="4">
        <v>10</v>
      </c>
      <c r="N19" s="4">
        <v>11</v>
      </c>
      <c r="O19" s="4">
        <v>12</v>
      </c>
    </row>
    <row r="20" spans="2:15" x14ac:dyDescent="0.2">
      <c r="B20" s="7"/>
      <c r="C20" s="7" t="s">
        <v>12</v>
      </c>
      <c r="D20" s="29">
        <f>D12</f>
        <v>2022</v>
      </c>
      <c r="E20" s="29">
        <f>E12</f>
        <v>2023</v>
      </c>
      <c r="F20" s="29">
        <f>F12</f>
        <v>2024</v>
      </c>
      <c r="G20" s="29">
        <f t="shared" ref="G20:O20" si="4">G12</f>
        <v>2025</v>
      </c>
      <c r="H20" s="29">
        <f t="shared" si="4"/>
        <v>2026</v>
      </c>
      <c r="I20" s="29">
        <f t="shared" si="4"/>
        <v>2027</v>
      </c>
      <c r="J20" s="29">
        <f t="shared" si="4"/>
        <v>2028</v>
      </c>
      <c r="K20" s="29">
        <f t="shared" si="4"/>
        <v>2029</v>
      </c>
      <c r="L20" s="29">
        <f t="shared" si="4"/>
        <v>2030</v>
      </c>
      <c r="M20" s="29">
        <f t="shared" si="4"/>
        <v>2031</v>
      </c>
      <c r="N20" s="29">
        <f t="shared" si="4"/>
        <v>2032</v>
      </c>
      <c r="O20" s="29">
        <f t="shared" si="4"/>
        <v>2033</v>
      </c>
    </row>
    <row r="21" spans="2:15" x14ac:dyDescent="0.2">
      <c r="B21" s="4" t="s">
        <v>121</v>
      </c>
      <c r="C21" s="9">
        <f>SUM(D21:O21)</f>
        <v>1254560005.3384385</v>
      </c>
      <c r="D21" s="11">
        <f>D13-D5</f>
        <v>0</v>
      </c>
      <c r="E21" s="11">
        <f t="shared" ref="E21:O21" si="5">E13-E5</f>
        <v>241807585.02806833</v>
      </c>
      <c r="F21" s="11">
        <f t="shared" si="5"/>
        <v>246101013.80952594</v>
      </c>
      <c r="G21" s="11">
        <f t="shared" si="5"/>
        <v>250555212.41166478</v>
      </c>
      <c r="H21" s="11">
        <f t="shared" si="5"/>
        <v>256072390.1231077</v>
      </c>
      <c r="I21" s="11">
        <f t="shared" si="5"/>
        <v>260023803.96607187</v>
      </c>
      <c r="J21" s="11">
        <f t="shared" si="5"/>
        <v>0</v>
      </c>
      <c r="K21" s="11">
        <f t="shared" si="5"/>
        <v>0</v>
      </c>
      <c r="L21" s="11">
        <f t="shared" si="5"/>
        <v>0</v>
      </c>
      <c r="M21" s="11">
        <f t="shared" si="5"/>
        <v>0</v>
      </c>
      <c r="N21" s="11">
        <f t="shared" si="5"/>
        <v>0</v>
      </c>
      <c r="O21" s="11">
        <f t="shared" si="5"/>
        <v>0</v>
      </c>
    </row>
    <row r="22" spans="2:15" x14ac:dyDescent="0.2">
      <c r="B22" s="4" t="s">
        <v>122</v>
      </c>
      <c r="C22" s="9">
        <f>SUM(D22:O22)</f>
        <v>-492500000</v>
      </c>
      <c r="D22" s="11">
        <f>D14-D6</f>
        <v>0</v>
      </c>
      <c r="E22" s="11">
        <f t="shared" ref="E22:O22" si="6">E14-E6</f>
        <v>-91840000</v>
      </c>
      <c r="F22" s="11">
        <f t="shared" si="6"/>
        <v>-95050000</v>
      </c>
      <c r="G22" s="11">
        <f t="shared" si="6"/>
        <v>-98390000</v>
      </c>
      <c r="H22" s="11">
        <f t="shared" si="6"/>
        <v>-101830000</v>
      </c>
      <c r="I22" s="11">
        <f t="shared" si="6"/>
        <v>-105390000</v>
      </c>
      <c r="J22" s="11">
        <f t="shared" si="6"/>
        <v>0</v>
      </c>
      <c r="K22" s="11">
        <f t="shared" si="6"/>
        <v>0</v>
      </c>
      <c r="L22" s="11">
        <f t="shared" si="6"/>
        <v>0</v>
      </c>
      <c r="M22" s="11">
        <f t="shared" si="6"/>
        <v>0</v>
      </c>
      <c r="N22" s="11">
        <f t="shared" si="6"/>
        <v>0</v>
      </c>
      <c r="O22" s="11">
        <f t="shared" si="6"/>
        <v>0</v>
      </c>
    </row>
    <row r="23" spans="2:15" x14ac:dyDescent="0.2">
      <c r="B23" s="5" t="s">
        <v>14</v>
      </c>
      <c r="C23" s="15">
        <f>SUM(D23:O23)</f>
        <v>762060005.33843863</v>
      </c>
      <c r="D23" s="15">
        <f>SUM(D21:D22)</f>
        <v>0</v>
      </c>
      <c r="E23" s="15">
        <f t="shared" ref="E23:O23" si="7">SUM(E21:E22)</f>
        <v>149967585.02806833</v>
      </c>
      <c r="F23" s="15">
        <f t="shared" si="7"/>
        <v>151051013.80952594</v>
      </c>
      <c r="G23" s="15">
        <f t="shared" si="7"/>
        <v>152165212.41166478</v>
      </c>
      <c r="H23" s="15">
        <f t="shared" si="7"/>
        <v>154242390.1231077</v>
      </c>
      <c r="I23" s="15">
        <f t="shared" si="7"/>
        <v>154633803.96607187</v>
      </c>
      <c r="J23" s="15">
        <f t="shared" si="7"/>
        <v>0</v>
      </c>
      <c r="K23" s="15">
        <f t="shared" si="7"/>
        <v>0</v>
      </c>
      <c r="L23" s="15">
        <f t="shared" si="7"/>
        <v>0</v>
      </c>
      <c r="M23" s="15">
        <f t="shared" si="7"/>
        <v>0</v>
      </c>
      <c r="N23" s="15">
        <f t="shared" si="7"/>
        <v>0</v>
      </c>
      <c r="O23" s="15">
        <f t="shared" si="7"/>
        <v>0</v>
      </c>
    </row>
  </sheetData>
  <phoneticPr fontId="2" type="noConversion"/>
  <pageMargins left="0.22604166666666667" right="0.24062500000000001" top="1" bottom="1" header="0.5" footer="0.5"/>
  <pageSetup paperSize="9" scale="75" orientation="landscape" r:id="rId1"/>
  <headerFooter alignWithMargins="0">
    <oddHeader>&amp;LPríloha 7: Štandardné tabuľky - Cesty
&amp;"Arial,Tučné"&amp;12 04 Príjmy</oddHeader>
    <oddFooter>Strana &amp;P z &amp;N</oddFooter>
  </headerFooter>
  <ignoredErrors>
    <ignoredError sqref="D7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1"/>
  </sheetPr>
  <dimension ref="B2:P26"/>
  <sheetViews>
    <sheetView zoomScaleNormal="100" workbookViewId="0">
      <selection activeCell="D25" sqref="D25"/>
    </sheetView>
  </sheetViews>
  <sheetFormatPr defaultRowHeight="11.25" x14ac:dyDescent="0.2"/>
  <cols>
    <col min="1" max="1" width="2.5703125" style="2" customWidth="1"/>
    <col min="2" max="2" width="29" style="2" customWidth="1"/>
    <col min="3" max="4" width="13.7109375" style="2" customWidth="1"/>
    <col min="5" max="16" width="5" style="2" bestFit="1" customWidth="1"/>
    <col min="17" max="16384" width="9.140625" style="2"/>
  </cols>
  <sheetData>
    <row r="2" spans="2:4" x14ac:dyDescent="0.2">
      <c r="B2" s="7" t="s">
        <v>23</v>
      </c>
      <c r="C2" s="29" t="s">
        <v>54</v>
      </c>
      <c r="D2" s="29" t="s">
        <v>55</v>
      </c>
    </row>
    <row r="3" spans="2:4" x14ac:dyDescent="0.2">
      <c r="B3" s="17" t="s">
        <v>22</v>
      </c>
      <c r="C3" s="11">
        <f>SUM('06 Finančná analýza'!C5:N5)</f>
        <v>29140685.555317573</v>
      </c>
      <c r="D3" s="51">
        <f>SUMPRODUCT('06 Finančná analýza'!C5:N5,'06 Finančná analýza'!C$43:N$43)</f>
        <v>29140685.555317573</v>
      </c>
    </row>
    <row r="4" spans="2:4" x14ac:dyDescent="0.2">
      <c r="B4" s="17" t="s">
        <v>24</v>
      </c>
      <c r="C4" s="11">
        <v>0</v>
      </c>
      <c r="D4" s="51">
        <v>0</v>
      </c>
    </row>
    <row r="5" spans="2:4" x14ac:dyDescent="0.2">
      <c r="B5" s="17" t="s">
        <v>21</v>
      </c>
      <c r="C5" s="11">
        <f>SUM('06 Finančná analýza'!C7:N7)</f>
        <v>1254560005.3384385</v>
      </c>
      <c r="D5" s="51">
        <f>SUMPRODUCT('06 Finančná analýza'!C7:N7,'06 Finančná analýza'!C$43:N$43)</f>
        <v>1360990843.0513427</v>
      </c>
    </row>
    <row r="6" spans="2:4" x14ac:dyDescent="0.2">
      <c r="B6" s="17" t="s">
        <v>20</v>
      </c>
      <c r="C6" s="11">
        <f>SUM('06 Finančná analýza'!C6:N6)</f>
        <v>154996359.99000943</v>
      </c>
      <c r="D6" s="51">
        <f>SUMPRODUCT('06 Finančná analýza'!C6:N6,'06 Finančná analýza'!C$43:N$43)</f>
        <v>167733879.99074456</v>
      </c>
    </row>
    <row r="7" spans="2:4" x14ac:dyDescent="0.2">
      <c r="B7" s="17" t="s">
        <v>19</v>
      </c>
      <c r="C7" s="11">
        <f>C5-C6+C4</f>
        <v>1099563645.3484292</v>
      </c>
      <c r="D7" s="51">
        <f>D5-D6+D4</f>
        <v>1193256963.0605981</v>
      </c>
    </row>
    <row r="8" spans="2:4" ht="12" thickBot="1" x14ac:dyDescent="0.25">
      <c r="B8" s="17" t="s">
        <v>18</v>
      </c>
      <c r="C8" s="11">
        <f>C3-C7</f>
        <v>-1070422959.7931117</v>
      </c>
      <c r="D8" s="51">
        <f>D3-D7</f>
        <v>-1164116277.5052805</v>
      </c>
    </row>
    <row r="9" spans="2:4" ht="12" thickBot="1" x14ac:dyDescent="0.25">
      <c r="B9" s="17" t="s">
        <v>17</v>
      </c>
      <c r="C9" s="186">
        <v>0</v>
      </c>
      <c r="D9" s="53">
        <v>0</v>
      </c>
    </row>
    <row r="13" spans="2:4" x14ac:dyDescent="0.2">
      <c r="B13" s="7" t="s">
        <v>28</v>
      </c>
      <c r="C13" s="29"/>
    </row>
    <row r="14" spans="2:4" x14ac:dyDescent="0.2">
      <c r="B14" s="17" t="s">
        <v>25</v>
      </c>
      <c r="C14" s="11">
        <v>0</v>
      </c>
    </row>
    <row r="15" spans="2:4" x14ac:dyDescent="0.2">
      <c r="B15" s="17" t="s">
        <v>27</v>
      </c>
      <c r="C15" s="11">
        <v>0</v>
      </c>
    </row>
    <row r="16" spans="2:4" x14ac:dyDescent="0.2">
      <c r="B16" s="17" t="s">
        <v>26</v>
      </c>
      <c r="C16" s="34">
        <v>0.85</v>
      </c>
    </row>
    <row r="17" spans="2:16" x14ac:dyDescent="0.2">
      <c r="B17" s="17" t="s">
        <v>29</v>
      </c>
      <c r="C17" s="11">
        <v>0</v>
      </c>
    </row>
    <row r="18" spans="2:16" x14ac:dyDescent="0.2">
      <c r="B18" s="35"/>
    </row>
    <row r="19" spans="2:16" x14ac:dyDescent="0.2">
      <c r="B19" s="17"/>
      <c r="C19" s="17"/>
      <c r="D19" s="17" t="s">
        <v>13</v>
      </c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</row>
    <row r="20" spans="2:16" x14ac:dyDescent="0.2">
      <c r="B20" s="20"/>
      <c r="C20" s="20"/>
      <c r="D20" s="36">
        <v>1</v>
      </c>
      <c r="E20" s="36">
        <v>2</v>
      </c>
      <c r="F20" s="36">
        <v>3</v>
      </c>
      <c r="G20" s="36">
        <v>4</v>
      </c>
      <c r="H20" s="36">
        <v>5</v>
      </c>
      <c r="I20" s="36">
        <v>6</v>
      </c>
      <c r="J20" s="36">
        <v>7</v>
      </c>
      <c r="K20" s="36">
        <v>8</v>
      </c>
      <c r="L20" s="36">
        <v>9</v>
      </c>
      <c r="M20" s="36">
        <v>10</v>
      </c>
      <c r="N20" s="36">
        <v>11</v>
      </c>
      <c r="O20" s="36">
        <v>12</v>
      </c>
      <c r="P20" s="36">
        <v>13</v>
      </c>
    </row>
    <row r="21" spans="2:16" x14ac:dyDescent="0.2">
      <c r="B21" s="7" t="s">
        <v>30</v>
      </c>
      <c r="C21" s="7" t="s">
        <v>12</v>
      </c>
      <c r="D21" s="8">
        <v>2022</v>
      </c>
      <c r="E21" s="8">
        <f>$D$21+D20</f>
        <v>2023</v>
      </c>
      <c r="F21" s="8">
        <f>$D$21+E20</f>
        <v>2024</v>
      </c>
      <c r="G21" s="8">
        <f>$D$21+F20</f>
        <v>2025</v>
      </c>
      <c r="H21" s="8">
        <f t="shared" ref="H21:P21" si="0">$D$21+G20</f>
        <v>2026</v>
      </c>
      <c r="I21" s="8">
        <f t="shared" si="0"/>
        <v>2027</v>
      </c>
      <c r="J21" s="8">
        <f t="shared" si="0"/>
        <v>2028</v>
      </c>
      <c r="K21" s="8">
        <f t="shared" si="0"/>
        <v>2029</v>
      </c>
      <c r="L21" s="8">
        <f t="shared" si="0"/>
        <v>2030</v>
      </c>
      <c r="M21" s="8">
        <f t="shared" si="0"/>
        <v>2031</v>
      </c>
      <c r="N21" s="8">
        <f t="shared" si="0"/>
        <v>2032</v>
      </c>
      <c r="O21" s="8">
        <f t="shared" si="0"/>
        <v>2033</v>
      </c>
      <c r="P21" s="8">
        <f t="shared" si="0"/>
        <v>2034</v>
      </c>
    </row>
    <row r="22" spans="2:16" x14ac:dyDescent="0.2">
      <c r="B22" s="17" t="s">
        <v>22</v>
      </c>
      <c r="C22" s="11"/>
      <c r="D22" s="11">
        <f>C3</f>
        <v>29140685.555317573</v>
      </c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</row>
    <row r="23" spans="2:16" x14ac:dyDescent="0.2">
      <c r="B23" s="17" t="s">
        <v>29</v>
      </c>
      <c r="C23" s="11"/>
      <c r="D23" s="11">
        <v>0</v>
      </c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</row>
    <row r="24" spans="2:16" x14ac:dyDescent="0.2">
      <c r="B24" s="17" t="s">
        <v>31</v>
      </c>
      <c r="C24" s="11"/>
      <c r="D24" s="11">
        <f>D22</f>
        <v>29140685.555317573</v>
      </c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</row>
    <row r="25" spans="2:16" x14ac:dyDescent="0.2">
      <c r="B25" s="17" t="s">
        <v>32</v>
      </c>
      <c r="C25" s="11"/>
      <c r="D25" s="11">
        <v>0</v>
      </c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</row>
    <row r="26" spans="2:16" x14ac:dyDescent="0.2"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</row>
  </sheetData>
  <phoneticPr fontId="2" type="noConversion"/>
  <pageMargins left="0.1953125" right="0.34375" top="1" bottom="1" header="0.5" footer="0.5"/>
  <pageSetup scale="75" orientation="landscape" r:id="rId1"/>
  <headerFooter alignWithMargins="0">
    <oddFooter>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1"/>
  </sheetPr>
  <dimension ref="B2:O43"/>
  <sheetViews>
    <sheetView zoomScale="80" zoomScaleNormal="80" workbookViewId="0">
      <selection activeCell="C25" sqref="C25:C26"/>
    </sheetView>
  </sheetViews>
  <sheetFormatPr defaultRowHeight="11.25" x14ac:dyDescent="0.2"/>
  <cols>
    <col min="1" max="1" width="2.7109375" style="3" customWidth="1"/>
    <col min="2" max="2" width="46.5703125" style="3" customWidth="1"/>
    <col min="3" max="3" width="13.7109375" style="3" customWidth="1"/>
    <col min="4" max="4" width="11.5703125" style="3" customWidth="1"/>
    <col min="5" max="6" width="10.28515625" style="3" bestFit="1" customWidth="1"/>
    <col min="7" max="14" width="10.85546875" style="3" bestFit="1" customWidth="1"/>
    <col min="15" max="15" width="5" style="3" bestFit="1" customWidth="1"/>
    <col min="16" max="16384" width="9.140625" style="3"/>
  </cols>
  <sheetData>
    <row r="2" spans="2:14" x14ac:dyDescent="0.2">
      <c r="B2" s="22" t="s">
        <v>40</v>
      </c>
      <c r="C2" s="4" t="s">
        <v>13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pans="2:14" x14ac:dyDescent="0.2">
      <c r="B3" s="5"/>
      <c r="C3" s="6">
        <v>1</v>
      </c>
      <c r="D3" s="6">
        <v>2</v>
      </c>
      <c r="E3" s="6">
        <v>3</v>
      </c>
      <c r="F3" s="6">
        <v>4</v>
      </c>
      <c r="G3" s="6">
        <v>5</v>
      </c>
      <c r="H3" s="6">
        <v>6</v>
      </c>
      <c r="I3" s="6">
        <v>7</v>
      </c>
      <c r="J3" s="6">
        <v>8</v>
      </c>
      <c r="K3" s="6">
        <v>9</v>
      </c>
      <c r="L3" s="6">
        <v>10</v>
      </c>
      <c r="M3" s="6">
        <v>11</v>
      </c>
      <c r="N3" s="6">
        <v>12</v>
      </c>
    </row>
    <row r="4" spans="2:14" x14ac:dyDescent="0.2">
      <c r="B4" s="7" t="s">
        <v>91</v>
      </c>
      <c r="C4" s="8">
        <v>2022</v>
      </c>
      <c r="D4" s="8">
        <v>2023</v>
      </c>
      <c r="E4" s="8">
        <v>2024</v>
      </c>
      <c r="F4" s="8">
        <v>2025</v>
      </c>
      <c r="G4" s="8">
        <v>2026</v>
      </c>
      <c r="H4" s="8">
        <v>2027</v>
      </c>
      <c r="I4" s="8">
        <v>2028</v>
      </c>
      <c r="J4" s="8">
        <v>2029</v>
      </c>
      <c r="K4" s="8">
        <v>2030</v>
      </c>
      <c r="L4" s="8">
        <v>2031</v>
      </c>
      <c r="M4" s="8">
        <v>2032</v>
      </c>
      <c r="N4" s="8">
        <v>2033</v>
      </c>
    </row>
    <row r="5" spans="2:14" x14ac:dyDescent="0.2">
      <c r="B5" s="4" t="s">
        <v>136</v>
      </c>
      <c r="C5" s="11">
        <f>'01 Investičné náklady'!C24</f>
        <v>29140685.555317573</v>
      </c>
      <c r="D5" s="11">
        <v>0</v>
      </c>
      <c r="E5" s="11">
        <v>0</v>
      </c>
      <c r="F5" s="11">
        <v>0</v>
      </c>
      <c r="G5" s="11">
        <v>0</v>
      </c>
      <c r="H5" s="11">
        <v>0</v>
      </c>
      <c r="I5" s="11">
        <v>0</v>
      </c>
      <c r="J5" s="11">
        <v>0</v>
      </c>
      <c r="K5" s="11">
        <v>0</v>
      </c>
      <c r="L5" s="11">
        <v>0</v>
      </c>
      <c r="M5" s="11">
        <v>0</v>
      </c>
      <c r="N5" s="11">
        <v>0</v>
      </c>
    </row>
    <row r="6" spans="2:14" x14ac:dyDescent="0.2">
      <c r="B6" s="4" t="s">
        <v>135</v>
      </c>
      <c r="C6" s="11">
        <v>0</v>
      </c>
      <c r="D6" s="11">
        <f>'03 Prevádzkové výdavky'!E25</f>
        <v>31654039.220620431</v>
      </c>
      <c r="E6" s="11">
        <f>'03 Prevádzkové výdavky'!F25</f>
        <v>31522246.289287228</v>
      </c>
      <c r="F6" s="11">
        <f>'03 Prevádzkové výdavky'!G25</f>
        <v>31036105.783990908</v>
      </c>
      <c r="G6" s="11">
        <f>'03 Prevádzkové výdavky'!H25</f>
        <v>30683564.337922428</v>
      </c>
      <c r="H6" s="11">
        <f>'03 Prevádzkové výdavky'!I25</f>
        <v>30100404.35818845</v>
      </c>
      <c r="I6" s="11">
        <f>'03 Prevádzkové výdavky'!J25</f>
        <v>0</v>
      </c>
      <c r="J6" s="11">
        <f>'03 Prevádzkové výdavky'!K25</f>
        <v>0</v>
      </c>
      <c r="K6" s="11">
        <f>'03 Prevádzkové výdavky'!L25</f>
        <v>0</v>
      </c>
      <c r="L6" s="11">
        <f>'03 Prevádzkové výdavky'!M25</f>
        <v>0</v>
      </c>
      <c r="M6" s="11">
        <f>'03 Prevádzkové výdavky'!N25</f>
        <v>0</v>
      </c>
      <c r="N6" s="11">
        <f>'03 Prevádzkové výdavky'!O25</f>
        <v>0</v>
      </c>
    </row>
    <row r="7" spans="2:14" x14ac:dyDescent="0.2">
      <c r="B7" s="4" t="s">
        <v>21</v>
      </c>
      <c r="C7" s="11">
        <v>0</v>
      </c>
      <c r="D7" s="11">
        <f>'04 Príjmy'!E15</f>
        <v>241807585.02806833</v>
      </c>
      <c r="E7" s="11">
        <f>'04 Príjmy'!F15</f>
        <v>246101013.80952594</v>
      </c>
      <c r="F7" s="11">
        <f>'04 Príjmy'!G15</f>
        <v>250555212.41166478</v>
      </c>
      <c r="G7" s="11">
        <f>'04 Príjmy'!H15</f>
        <v>256072390.1231077</v>
      </c>
      <c r="H7" s="11">
        <f>'04 Príjmy'!I15</f>
        <v>260023803.96607187</v>
      </c>
      <c r="I7" s="11">
        <f>'04 Príjmy'!J15</f>
        <v>0</v>
      </c>
      <c r="J7" s="11">
        <f>'04 Príjmy'!K15</f>
        <v>0</v>
      </c>
      <c r="K7" s="11">
        <f>'04 Príjmy'!L15</f>
        <v>0</v>
      </c>
      <c r="L7" s="11">
        <f>'04 Príjmy'!M15</f>
        <v>0</v>
      </c>
      <c r="M7" s="11">
        <f>'04 Príjmy'!N15</f>
        <v>0</v>
      </c>
      <c r="N7" s="11">
        <f>'04 Príjmy'!O15</f>
        <v>0</v>
      </c>
    </row>
    <row r="8" spans="2:14" ht="12" thickBot="1" x14ac:dyDescent="0.25">
      <c r="B8" s="41" t="s">
        <v>24</v>
      </c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3">
        <v>0</v>
      </c>
    </row>
    <row r="9" spans="2:14" ht="12" thickTop="1" x14ac:dyDescent="0.2">
      <c r="B9" s="32" t="s">
        <v>92</v>
      </c>
      <c r="C9" s="33">
        <f>SUM(-C5,-C6,C7,C8)</f>
        <v>-29140685.555317573</v>
      </c>
      <c r="D9" s="33">
        <f t="shared" ref="D9:N9" si="0">SUM(-D5,-D6,D7,D8)</f>
        <v>210153545.80744791</v>
      </c>
      <c r="E9" s="33">
        <f t="shared" si="0"/>
        <v>214578767.5202387</v>
      </c>
      <c r="F9" s="33">
        <f t="shared" si="0"/>
        <v>219519106.62767386</v>
      </c>
      <c r="G9" s="33">
        <f t="shared" si="0"/>
        <v>225388825.78518528</v>
      </c>
      <c r="H9" s="33">
        <f t="shared" si="0"/>
        <v>229923399.60788342</v>
      </c>
      <c r="I9" s="33">
        <f t="shared" si="0"/>
        <v>0</v>
      </c>
      <c r="J9" s="33">
        <f t="shared" si="0"/>
        <v>0</v>
      </c>
      <c r="K9" s="33">
        <f t="shared" si="0"/>
        <v>0</v>
      </c>
      <c r="L9" s="33">
        <f t="shared" si="0"/>
        <v>0</v>
      </c>
      <c r="M9" s="33">
        <f t="shared" si="0"/>
        <v>0</v>
      </c>
      <c r="N9" s="33">
        <f t="shared" si="0"/>
        <v>0</v>
      </c>
    </row>
    <row r="10" spans="2:14" ht="12" thickBot="1" x14ac:dyDescent="0.25"/>
    <row r="11" spans="2:14" ht="12" thickBot="1" x14ac:dyDescent="0.25">
      <c r="B11" s="39" t="s">
        <v>36</v>
      </c>
      <c r="C11" s="54">
        <f>NPV(4%,C9:N9)</f>
        <v>911649459.82584429</v>
      </c>
      <c r="D11" s="40" t="s">
        <v>0</v>
      </c>
    </row>
    <row r="12" spans="2:14" ht="12" thickBot="1" x14ac:dyDescent="0.25">
      <c r="B12" s="39" t="s">
        <v>37</v>
      </c>
      <c r="C12" s="55">
        <f>IRR(C9:N9)</f>
        <v>7.2328212934936946</v>
      </c>
      <c r="D12" s="28"/>
    </row>
    <row r="15" spans="2:14" x14ac:dyDescent="0.2">
      <c r="B15" s="22" t="s">
        <v>41</v>
      </c>
      <c r="C15" s="4" t="s">
        <v>13</v>
      </c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</row>
    <row r="16" spans="2:14" x14ac:dyDescent="0.2">
      <c r="B16" s="5"/>
      <c r="C16" s="6">
        <v>1</v>
      </c>
      <c r="D16" s="6">
        <v>2</v>
      </c>
      <c r="E16" s="6">
        <v>3</v>
      </c>
      <c r="F16" s="6">
        <v>4</v>
      </c>
      <c r="G16" s="6">
        <v>5</v>
      </c>
      <c r="H16" s="6">
        <v>6</v>
      </c>
      <c r="I16" s="6">
        <v>7</v>
      </c>
      <c r="J16" s="6">
        <v>8</v>
      </c>
      <c r="K16" s="6">
        <v>9</v>
      </c>
      <c r="L16" s="6">
        <v>10</v>
      </c>
      <c r="M16" s="6">
        <v>11</v>
      </c>
      <c r="N16" s="6">
        <v>12</v>
      </c>
    </row>
    <row r="17" spans="2:14" x14ac:dyDescent="0.2">
      <c r="B17" s="7" t="s">
        <v>91</v>
      </c>
      <c r="C17" s="8">
        <f>C4</f>
        <v>2022</v>
      </c>
      <c r="D17" s="8">
        <f>D4</f>
        <v>2023</v>
      </c>
      <c r="E17" s="8">
        <f>E4</f>
        <v>2024</v>
      </c>
      <c r="F17" s="8">
        <f t="shared" ref="F17:N17" si="1">F4</f>
        <v>2025</v>
      </c>
      <c r="G17" s="8">
        <f t="shared" si="1"/>
        <v>2026</v>
      </c>
      <c r="H17" s="8">
        <f t="shared" si="1"/>
        <v>2027</v>
      </c>
      <c r="I17" s="8">
        <f t="shared" si="1"/>
        <v>2028</v>
      </c>
      <c r="J17" s="8">
        <f t="shared" si="1"/>
        <v>2029</v>
      </c>
      <c r="K17" s="8">
        <f t="shared" si="1"/>
        <v>2030</v>
      </c>
      <c r="L17" s="8">
        <f t="shared" si="1"/>
        <v>2031</v>
      </c>
      <c r="M17" s="8">
        <f t="shared" si="1"/>
        <v>2032</v>
      </c>
      <c r="N17" s="8">
        <f t="shared" si="1"/>
        <v>2033</v>
      </c>
    </row>
    <row r="18" spans="2:14" x14ac:dyDescent="0.2">
      <c r="B18" s="4" t="s">
        <v>35</v>
      </c>
      <c r="C18" s="11">
        <f>C5</f>
        <v>29140685.555317573</v>
      </c>
      <c r="D18" s="11">
        <v>0</v>
      </c>
      <c r="E18" s="11">
        <v>0</v>
      </c>
      <c r="F18" s="11">
        <v>0</v>
      </c>
      <c r="G18" s="11">
        <v>0</v>
      </c>
      <c r="H18" s="11">
        <v>0</v>
      </c>
      <c r="I18" s="11">
        <v>0</v>
      </c>
      <c r="J18" s="11">
        <v>0</v>
      </c>
      <c r="K18" s="11">
        <v>0</v>
      </c>
      <c r="L18" s="11">
        <v>0</v>
      </c>
      <c r="M18" s="11">
        <v>0</v>
      </c>
      <c r="N18" s="11">
        <v>0</v>
      </c>
    </row>
    <row r="19" spans="2:14" x14ac:dyDescent="0.2">
      <c r="B19" s="4" t="s">
        <v>135</v>
      </c>
      <c r="C19" s="11">
        <v>0</v>
      </c>
      <c r="D19" s="11">
        <f>'03 Prevádzkové výdavky'!E25</f>
        <v>31654039.220620431</v>
      </c>
      <c r="E19" s="11">
        <f>'03 Prevádzkové výdavky'!F25</f>
        <v>31522246.289287228</v>
      </c>
      <c r="F19" s="11">
        <f>'03 Prevádzkové výdavky'!G25</f>
        <v>31036105.783990908</v>
      </c>
      <c r="G19" s="11">
        <f>'03 Prevádzkové výdavky'!H25</f>
        <v>30683564.337922428</v>
      </c>
      <c r="H19" s="11">
        <f>'03 Prevádzkové výdavky'!I25</f>
        <v>30100404.35818845</v>
      </c>
      <c r="I19" s="11">
        <f>'03 Prevádzkové výdavky'!J25</f>
        <v>0</v>
      </c>
      <c r="J19" s="11">
        <f>'03 Prevádzkové výdavky'!K25</f>
        <v>0</v>
      </c>
      <c r="K19" s="11">
        <f>'03 Prevádzkové výdavky'!L25</f>
        <v>0</v>
      </c>
      <c r="L19" s="11">
        <f>'03 Prevádzkové výdavky'!M25</f>
        <v>0</v>
      </c>
      <c r="M19" s="11">
        <f>'03 Prevádzkové výdavky'!N25</f>
        <v>0</v>
      </c>
      <c r="N19" s="11">
        <f>'03 Prevádzkové výdavky'!O25</f>
        <v>0</v>
      </c>
    </row>
    <row r="20" spans="2:14" x14ac:dyDescent="0.2">
      <c r="B20" s="4" t="s">
        <v>33</v>
      </c>
      <c r="C20" s="10">
        <v>0</v>
      </c>
      <c r="D20" s="10">
        <v>0</v>
      </c>
      <c r="E20" s="10">
        <v>0</v>
      </c>
      <c r="F20" s="10">
        <v>0</v>
      </c>
      <c r="G20" s="10">
        <v>0</v>
      </c>
      <c r="H20" s="10">
        <v>0</v>
      </c>
      <c r="I20" s="10">
        <v>0</v>
      </c>
      <c r="J20" s="10">
        <v>0</v>
      </c>
      <c r="K20" s="10">
        <v>0</v>
      </c>
      <c r="L20" s="10">
        <v>0</v>
      </c>
      <c r="M20" s="10">
        <v>0</v>
      </c>
      <c r="N20" s="10">
        <v>0</v>
      </c>
    </row>
    <row r="21" spans="2:14" x14ac:dyDescent="0.2">
      <c r="B21" s="4" t="s">
        <v>21</v>
      </c>
      <c r="C21" s="11">
        <v>0</v>
      </c>
      <c r="D21" s="11">
        <f>'04 Príjmy'!E15</f>
        <v>241807585.02806833</v>
      </c>
      <c r="E21" s="11">
        <f>'04 Príjmy'!F15</f>
        <v>246101013.80952594</v>
      </c>
      <c r="F21" s="11">
        <f>'04 Príjmy'!G15</f>
        <v>250555212.41166478</v>
      </c>
      <c r="G21" s="11">
        <f>'04 Príjmy'!H15</f>
        <v>256072390.1231077</v>
      </c>
      <c r="H21" s="11">
        <f>'04 Príjmy'!I15</f>
        <v>260023803.96607187</v>
      </c>
      <c r="I21" s="11">
        <f>'04 Príjmy'!J15</f>
        <v>0</v>
      </c>
      <c r="J21" s="11">
        <f>'04 Príjmy'!K15</f>
        <v>0</v>
      </c>
      <c r="K21" s="11">
        <f>'04 Príjmy'!L15</f>
        <v>0</v>
      </c>
      <c r="L21" s="11">
        <f>'04 Príjmy'!M15</f>
        <v>0</v>
      </c>
      <c r="M21" s="11">
        <f>'04 Príjmy'!N15</f>
        <v>0</v>
      </c>
      <c r="N21" s="11">
        <f>'04 Príjmy'!O15</f>
        <v>0</v>
      </c>
    </row>
    <row r="22" spans="2:14" ht="12" thickBot="1" x14ac:dyDescent="0.25">
      <c r="B22" s="41" t="s">
        <v>24</v>
      </c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</row>
    <row r="23" spans="2:14" ht="12" thickTop="1" x14ac:dyDescent="0.2">
      <c r="B23" s="32" t="s">
        <v>92</v>
      </c>
      <c r="C23" s="33">
        <f>SUM(-C18,-C19,-C20,C21,C22)</f>
        <v>-29140685.555317573</v>
      </c>
      <c r="D23" s="33">
        <f t="shared" ref="D23:N23" si="2">SUM(-D18,-D19,-D20,D21,D22)</f>
        <v>210153545.80744791</v>
      </c>
      <c r="E23" s="33">
        <f t="shared" si="2"/>
        <v>214578767.5202387</v>
      </c>
      <c r="F23" s="33">
        <f t="shared" si="2"/>
        <v>219519106.62767386</v>
      </c>
      <c r="G23" s="33">
        <f t="shared" si="2"/>
        <v>225388825.78518528</v>
      </c>
      <c r="H23" s="33">
        <f t="shared" si="2"/>
        <v>229923399.60788342</v>
      </c>
      <c r="I23" s="33">
        <f t="shared" si="2"/>
        <v>0</v>
      </c>
      <c r="J23" s="33">
        <f t="shared" si="2"/>
        <v>0</v>
      </c>
      <c r="K23" s="33">
        <f t="shared" si="2"/>
        <v>0</v>
      </c>
      <c r="L23" s="33">
        <f t="shared" si="2"/>
        <v>0</v>
      </c>
      <c r="M23" s="33">
        <f t="shared" si="2"/>
        <v>0</v>
      </c>
      <c r="N23" s="33">
        <f t="shared" si="2"/>
        <v>0</v>
      </c>
    </row>
    <row r="24" spans="2:14" ht="12" thickBot="1" x14ac:dyDescent="0.25"/>
    <row r="25" spans="2:14" ht="12" thickBot="1" x14ac:dyDescent="0.25">
      <c r="B25" s="39" t="s">
        <v>38</v>
      </c>
      <c r="C25" s="54">
        <f>NPV(4%,C23:N23)</f>
        <v>911649459.82584429</v>
      </c>
      <c r="D25" s="40" t="s">
        <v>0</v>
      </c>
    </row>
    <row r="26" spans="2:14" ht="12" thickBot="1" x14ac:dyDescent="0.25">
      <c r="B26" s="39" t="s">
        <v>39</v>
      </c>
      <c r="C26" s="55">
        <f>IRR(C23:N23)</f>
        <v>7.2328212934936946</v>
      </c>
      <c r="D26" s="28"/>
    </row>
    <row r="27" spans="2:14" x14ac:dyDescent="0.2">
      <c r="C27" s="38"/>
    </row>
    <row r="29" spans="2:14" x14ac:dyDescent="0.2">
      <c r="B29" s="5" t="s">
        <v>34</v>
      </c>
      <c r="C29" s="4" t="s">
        <v>13</v>
      </c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</row>
    <row r="30" spans="2:14" x14ac:dyDescent="0.2">
      <c r="B30" s="5"/>
      <c r="C30" s="6">
        <v>1</v>
      </c>
      <c r="D30" s="6">
        <v>2</v>
      </c>
      <c r="E30" s="6">
        <v>3</v>
      </c>
      <c r="F30" s="6">
        <v>4</v>
      </c>
      <c r="G30" s="6">
        <v>5</v>
      </c>
      <c r="H30" s="6">
        <v>6</v>
      </c>
      <c r="I30" s="6">
        <v>7</v>
      </c>
      <c r="J30" s="6">
        <v>8</v>
      </c>
      <c r="K30" s="6">
        <v>9</v>
      </c>
      <c r="L30" s="6">
        <v>10</v>
      </c>
      <c r="M30" s="6">
        <v>11</v>
      </c>
      <c r="N30" s="6">
        <v>12</v>
      </c>
    </row>
    <row r="31" spans="2:14" x14ac:dyDescent="0.2">
      <c r="B31" s="7" t="s">
        <v>91</v>
      </c>
      <c r="C31" s="8">
        <f>C17</f>
        <v>2022</v>
      </c>
      <c r="D31" s="8">
        <f>D17</f>
        <v>2023</v>
      </c>
      <c r="E31" s="8">
        <f>E17</f>
        <v>2024</v>
      </c>
      <c r="F31" s="8">
        <f t="shared" ref="F31:N31" si="3">F17</f>
        <v>2025</v>
      </c>
      <c r="G31" s="8">
        <f t="shared" si="3"/>
        <v>2026</v>
      </c>
      <c r="H31" s="8">
        <f t="shared" si="3"/>
        <v>2027</v>
      </c>
      <c r="I31" s="8">
        <f t="shared" si="3"/>
        <v>2028</v>
      </c>
      <c r="J31" s="8">
        <f t="shared" si="3"/>
        <v>2029</v>
      </c>
      <c r="K31" s="8">
        <f t="shared" si="3"/>
        <v>2030</v>
      </c>
      <c r="L31" s="8">
        <f t="shared" si="3"/>
        <v>2031</v>
      </c>
      <c r="M31" s="8">
        <f t="shared" si="3"/>
        <v>2032</v>
      </c>
      <c r="N31" s="8">
        <f t="shared" si="3"/>
        <v>2033</v>
      </c>
    </row>
    <row r="32" spans="2:14" x14ac:dyDescent="0.2">
      <c r="B32" s="4" t="s">
        <v>137</v>
      </c>
      <c r="C32" s="11">
        <v>0</v>
      </c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</row>
    <row r="33" spans="2:15" x14ac:dyDescent="0.2">
      <c r="B33" s="4" t="s">
        <v>21</v>
      </c>
      <c r="C33" s="11">
        <v>0</v>
      </c>
      <c r="D33" s="11">
        <f>'04 Príjmy'!E15</f>
        <v>241807585.02806833</v>
      </c>
      <c r="E33" s="11">
        <f>'04 Príjmy'!F15</f>
        <v>246101013.80952594</v>
      </c>
      <c r="F33" s="11">
        <f>'04 Príjmy'!G15</f>
        <v>250555212.41166478</v>
      </c>
      <c r="G33" s="11">
        <f>'04 Príjmy'!H15</f>
        <v>256072390.1231077</v>
      </c>
      <c r="H33" s="11">
        <f>'04 Príjmy'!I15</f>
        <v>260023803.96607187</v>
      </c>
      <c r="I33" s="11">
        <f>'04 Príjmy'!J15</f>
        <v>0</v>
      </c>
      <c r="J33" s="11">
        <f>'04 Príjmy'!K15</f>
        <v>0</v>
      </c>
      <c r="K33" s="11">
        <f>'04 Príjmy'!L15</f>
        <v>0</v>
      </c>
      <c r="L33" s="11">
        <f>'04 Príjmy'!M15</f>
        <v>0</v>
      </c>
      <c r="M33" s="11">
        <f>'04 Príjmy'!N15</f>
        <v>0</v>
      </c>
      <c r="N33" s="11">
        <f>'04 Príjmy'!O15</f>
        <v>0</v>
      </c>
    </row>
    <row r="34" spans="2:15" x14ac:dyDescent="0.2">
      <c r="B34" s="44" t="s">
        <v>14</v>
      </c>
      <c r="C34" s="45">
        <f t="shared" ref="C34:D34" si="4">SUM(C32:C33)</f>
        <v>0</v>
      </c>
      <c r="D34" s="45">
        <f t="shared" si="4"/>
        <v>241807585.02806833</v>
      </c>
      <c r="E34" s="45">
        <f t="shared" ref="E34" si="5">SUM(E32:E33)</f>
        <v>246101013.80952594</v>
      </c>
      <c r="F34" s="45">
        <f t="shared" ref="F34" si="6">SUM(F32:F33)</f>
        <v>250555212.41166478</v>
      </c>
      <c r="G34" s="45">
        <f t="shared" ref="G34" si="7">SUM(G32:G33)</f>
        <v>256072390.1231077</v>
      </c>
      <c r="H34" s="45">
        <f t="shared" ref="H34" si="8">SUM(H32:H33)</f>
        <v>260023803.96607187</v>
      </c>
      <c r="I34" s="45">
        <f t="shared" ref="I34" si="9">SUM(I32:I33)</f>
        <v>0</v>
      </c>
      <c r="J34" s="45">
        <f t="shared" ref="J34" si="10">SUM(J32:J33)</f>
        <v>0</v>
      </c>
      <c r="K34" s="45">
        <f t="shared" ref="K34" si="11">SUM(K32:K33)</f>
        <v>0</v>
      </c>
      <c r="L34" s="45">
        <f t="shared" ref="L34" si="12">SUM(L32:L33)</f>
        <v>0</v>
      </c>
      <c r="M34" s="45">
        <f t="shared" ref="M34" si="13">SUM(M32:M33)</f>
        <v>0</v>
      </c>
      <c r="N34" s="45">
        <f t="shared" ref="N34" si="14">SUM(N32:N33)</f>
        <v>0</v>
      </c>
    </row>
    <row r="35" spans="2:15" x14ac:dyDescent="0.2">
      <c r="B35" s="4" t="s">
        <v>136</v>
      </c>
      <c r="C35" s="11">
        <f>'01 Investičné náklady'!C24</f>
        <v>29140685.555317573</v>
      </c>
      <c r="D35" s="11">
        <v>0</v>
      </c>
      <c r="E35" s="11">
        <v>0</v>
      </c>
      <c r="F35" s="11">
        <v>0</v>
      </c>
      <c r="G35" s="11">
        <v>0</v>
      </c>
      <c r="H35" s="11">
        <v>0</v>
      </c>
      <c r="I35" s="11">
        <v>0</v>
      </c>
      <c r="J35" s="11">
        <v>0</v>
      </c>
      <c r="K35" s="11">
        <v>0</v>
      </c>
      <c r="L35" s="11">
        <v>0</v>
      </c>
      <c r="M35" s="11">
        <v>0</v>
      </c>
      <c r="N35" s="11">
        <v>0</v>
      </c>
    </row>
    <row r="36" spans="2:15" x14ac:dyDescent="0.2">
      <c r="B36" s="4" t="s">
        <v>135</v>
      </c>
      <c r="C36" s="11">
        <v>0</v>
      </c>
      <c r="D36" s="11">
        <f>'03 Prevádzkové výdavky'!E25</f>
        <v>31654039.220620431</v>
      </c>
      <c r="E36" s="11">
        <f>'03 Prevádzkové výdavky'!F25</f>
        <v>31522246.289287228</v>
      </c>
      <c r="F36" s="11">
        <f>'03 Prevádzkové výdavky'!G25</f>
        <v>31036105.783990908</v>
      </c>
      <c r="G36" s="11">
        <f>'03 Prevádzkové výdavky'!H25</f>
        <v>30683564.337922428</v>
      </c>
      <c r="H36" s="11">
        <f>'03 Prevádzkové výdavky'!I25</f>
        <v>30100404.35818845</v>
      </c>
      <c r="I36" s="11">
        <f>'03 Prevádzkové výdavky'!J25</f>
        <v>0</v>
      </c>
      <c r="J36" s="11">
        <f>'03 Prevádzkové výdavky'!K25</f>
        <v>0</v>
      </c>
      <c r="K36" s="11">
        <f>'03 Prevádzkové výdavky'!L25</f>
        <v>0</v>
      </c>
      <c r="L36" s="11">
        <f>'03 Prevádzkové výdavky'!M25</f>
        <v>0</v>
      </c>
      <c r="M36" s="11">
        <f>'03 Prevádzkové výdavky'!N25</f>
        <v>0</v>
      </c>
      <c r="N36" s="11">
        <f>'03 Prevádzkové výdavky'!O25</f>
        <v>0</v>
      </c>
    </row>
    <row r="37" spans="2:15" x14ac:dyDescent="0.2">
      <c r="B37" s="4" t="s">
        <v>33</v>
      </c>
      <c r="C37" s="11">
        <v>0</v>
      </c>
      <c r="D37" s="11">
        <v>0</v>
      </c>
      <c r="E37" s="11">
        <v>0</v>
      </c>
      <c r="F37" s="11">
        <v>0</v>
      </c>
      <c r="G37" s="11">
        <v>0</v>
      </c>
      <c r="H37" s="11">
        <v>0</v>
      </c>
      <c r="I37" s="11">
        <v>0</v>
      </c>
      <c r="J37" s="11">
        <v>0</v>
      </c>
      <c r="K37" s="11">
        <v>0</v>
      </c>
      <c r="L37" s="11">
        <v>0</v>
      </c>
      <c r="M37" s="11">
        <v>0</v>
      </c>
      <c r="N37" s="11">
        <v>0</v>
      </c>
    </row>
    <row r="38" spans="2:15" x14ac:dyDescent="0.2">
      <c r="B38" s="44" t="s">
        <v>42</v>
      </c>
      <c r="C38" s="45">
        <f>SUM(C35:C37)</f>
        <v>29140685.555317573</v>
      </c>
      <c r="D38" s="45">
        <f>SUM(D35:D37)</f>
        <v>31654039.220620431</v>
      </c>
      <c r="E38" s="45">
        <f t="shared" ref="E38:N38" si="15">SUM(E35:E37)</f>
        <v>31522246.289287228</v>
      </c>
      <c r="F38" s="45">
        <f t="shared" si="15"/>
        <v>31036105.783990908</v>
      </c>
      <c r="G38" s="45">
        <f t="shared" si="15"/>
        <v>30683564.337922428</v>
      </c>
      <c r="H38" s="45">
        <f t="shared" si="15"/>
        <v>30100404.35818845</v>
      </c>
      <c r="I38" s="45">
        <f t="shared" si="15"/>
        <v>0</v>
      </c>
      <c r="J38" s="45">
        <f t="shared" si="15"/>
        <v>0</v>
      </c>
      <c r="K38" s="45">
        <f t="shared" si="15"/>
        <v>0</v>
      </c>
      <c r="L38" s="45">
        <f t="shared" si="15"/>
        <v>0</v>
      </c>
      <c r="M38" s="45">
        <f t="shared" si="15"/>
        <v>0</v>
      </c>
      <c r="N38" s="45">
        <f t="shared" si="15"/>
        <v>0</v>
      </c>
    </row>
    <row r="39" spans="2:15" ht="12" thickBot="1" x14ac:dyDescent="0.25">
      <c r="B39" s="56" t="s">
        <v>105</v>
      </c>
      <c r="C39" s="52">
        <f>C34-C38</f>
        <v>-29140685.555317573</v>
      </c>
      <c r="D39" s="52">
        <f t="shared" ref="D39:N39" si="16">D34-D38</f>
        <v>210153545.80744791</v>
      </c>
      <c r="E39" s="52">
        <f t="shared" si="16"/>
        <v>214578767.5202387</v>
      </c>
      <c r="F39" s="52">
        <f t="shared" si="16"/>
        <v>219519106.62767386</v>
      </c>
      <c r="G39" s="52">
        <f t="shared" si="16"/>
        <v>225388825.78518528</v>
      </c>
      <c r="H39" s="52">
        <f t="shared" si="16"/>
        <v>229923399.60788342</v>
      </c>
      <c r="I39" s="52">
        <f t="shared" si="16"/>
        <v>0</v>
      </c>
      <c r="J39" s="52">
        <f t="shared" si="16"/>
        <v>0</v>
      </c>
      <c r="K39" s="52">
        <f t="shared" si="16"/>
        <v>0</v>
      </c>
      <c r="L39" s="52">
        <f t="shared" si="16"/>
        <v>0</v>
      </c>
      <c r="M39" s="52">
        <f t="shared" si="16"/>
        <v>0</v>
      </c>
      <c r="N39" s="52">
        <f t="shared" si="16"/>
        <v>0</v>
      </c>
    </row>
    <row r="40" spans="2:15" ht="12" thickBot="1" x14ac:dyDescent="0.25">
      <c r="B40" s="57" t="s">
        <v>43</v>
      </c>
      <c r="C40" s="58">
        <f>C39</f>
        <v>-29140685.555317573</v>
      </c>
      <c r="D40" s="58">
        <f>C40+D39</f>
        <v>181012860.25213033</v>
      </c>
      <c r="E40" s="58">
        <f t="shared" ref="E40:N40" si="17">D40+E39</f>
        <v>395591627.77236903</v>
      </c>
      <c r="F40" s="58">
        <f t="shared" si="17"/>
        <v>615110734.40004289</v>
      </c>
      <c r="G40" s="58">
        <f t="shared" si="17"/>
        <v>840499560.18522811</v>
      </c>
      <c r="H40" s="58">
        <f t="shared" si="17"/>
        <v>1070422959.7931116</v>
      </c>
      <c r="I40" s="58">
        <f t="shared" si="17"/>
        <v>1070422959.7931116</v>
      </c>
      <c r="J40" s="58">
        <f t="shared" si="17"/>
        <v>1070422959.7931116</v>
      </c>
      <c r="K40" s="58">
        <f t="shared" si="17"/>
        <v>1070422959.7931116</v>
      </c>
      <c r="L40" s="58">
        <f t="shared" si="17"/>
        <v>1070422959.7931116</v>
      </c>
      <c r="M40" s="58">
        <f t="shared" si="17"/>
        <v>1070422959.7931116</v>
      </c>
      <c r="N40" s="58">
        <f t="shared" si="17"/>
        <v>1070422959.7931116</v>
      </c>
    </row>
    <row r="43" spans="2:15" s="184" customFormat="1" x14ac:dyDescent="0.2">
      <c r="B43" s="184" t="s">
        <v>340</v>
      </c>
      <c r="C43" s="185">
        <v>1</v>
      </c>
      <c r="D43" s="185">
        <f t="shared" ref="D43:N43" si="18">(1+$O43)^(D31-$D31)</f>
        <v>1</v>
      </c>
      <c r="E43" s="185">
        <f t="shared" si="18"/>
        <v>1.04</v>
      </c>
      <c r="F43" s="185">
        <f t="shared" si="18"/>
        <v>1.0816000000000001</v>
      </c>
      <c r="G43" s="185">
        <f t="shared" si="18"/>
        <v>1.1248640000000001</v>
      </c>
      <c r="H43" s="185">
        <f t="shared" si="18"/>
        <v>1.1698585600000002</v>
      </c>
      <c r="I43" s="185">
        <f t="shared" si="18"/>
        <v>1.2166529024000003</v>
      </c>
      <c r="J43" s="185">
        <f t="shared" si="18"/>
        <v>1.2653190184960004</v>
      </c>
      <c r="K43" s="185">
        <f t="shared" si="18"/>
        <v>1.3159317792358403</v>
      </c>
      <c r="L43" s="185">
        <f t="shared" si="18"/>
        <v>1.3685690504052741</v>
      </c>
      <c r="M43" s="185">
        <f t="shared" si="18"/>
        <v>1.4233118124214852</v>
      </c>
      <c r="N43" s="185">
        <f t="shared" si="18"/>
        <v>1.4802442849183446</v>
      </c>
      <c r="O43" s="187">
        <v>0.04</v>
      </c>
    </row>
  </sheetData>
  <phoneticPr fontId="2" type="noConversion"/>
  <conditionalFormatting sqref="C40:N40">
    <cfRule type="cellIs" dxfId="0" priority="1" stopIfTrue="1" operator="lessThan">
      <formula>0</formula>
    </cfRule>
  </conditionalFormatting>
  <pageMargins left="0.24791666666666667" right="0.1953125" top="1" bottom="1" header="0.5" footer="0.5"/>
  <pageSetup scale="70" orientation="landscape" r:id="rId1"/>
  <headerFooter alignWithMargins="0">
    <oddHeader>&amp;LPríloha 7: Štandardné tabuľky - Cesty
&amp;"Arial,Tučné"&amp;12 06 Finančná analýza</oddHeader>
    <oddFooter>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</sheetPr>
  <dimension ref="B1:O36"/>
  <sheetViews>
    <sheetView topLeftCell="C1" zoomScaleNormal="100" workbookViewId="0">
      <selection activeCell="C33" sqref="C33:H33"/>
    </sheetView>
  </sheetViews>
  <sheetFormatPr defaultRowHeight="11.25" x14ac:dyDescent="0.2"/>
  <cols>
    <col min="1" max="1" width="2.7109375" style="3" customWidth="1"/>
    <col min="2" max="2" width="53.140625" style="3" customWidth="1"/>
    <col min="3" max="3" width="12.7109375" style="3" bestFit="1" customWidth="1"/>
    <col min="4" max="15" width="8.42578125" style="3" bestFit="1" customWidth="1"/>
    <col min="16" max="16384" width="9.140625" style="3"/>
  </cols>
  <sheetData>
    <row r="1" spans="2:15" x14ac:dyDescent="0.2">
      <c r="B1" s="180" t="s">
        <v>348</v>
      </c>
    </row>
    <row r="2" spans="2:15" x14ac:dyDescent="0.2">
      <c r="B2" s="4"/>
      <c r="C2" s="4"/>
      <c r="D2" s="4" t="s">
        <v>13</v>
      </c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2:15" x14ac:dyDescent="0.2">
      <c r="B3" s="5"/>
      <c r="C3" s="5"/>
      <c r="D3" s="4">
        <v>1</v>
      </c>
      <c r="E3" s="4">
        <v>2</v>
      </c>
      <c r="F3" s="4">
        <v>3</v>
      </c>
      <c r="G3" s="4">
        <v>4</v>
      </c>
      <c r="H3" s="4">
        <v>5</v>
      </c>
      <c r="I3" s="4">
        <v>6</v>
      </c>
      <c r="J3" s="4">
        <v>7</v>
      </c>
      <c r="K3" s="4">
        <v>8</v>
      </c>
      <c r="L3" s="4">
        <v>9</v>
      </c>
      <c r="M3" s="4">
        <v>10</v>
      </c>
      <c r="N3" s="4">
        <v>11</v>
      </c>
      <c r="O3" s="4">
        <v>12</v>
      </c>
    </row>
    <row r="4" spans="2:15" x14ac:dyDescent="0.2">
      <c r="B4" s="7" t="s">
        <v>141</v>
      </c>
      <c r="C4" s="7" t="s">
        <v>12</v>
      </c>
      <c r="D4" s="29">
        <v>2022</v>
      </c>
      <c r="E4" s="29">
        <f>$D$4+D3</f>
        <v>2023</v>
      </c>
      <c r="F4" s="29">
        <f>$D$4+E3</f>
        <v>2024</v>
      </c>
      <c r="G4" s="29">
        <f t="shared" ref="G4:O4" si="0">$D$4+F3</f>
        <v>2025</v>
      </c>
      <c r="H4" s="29">
        <f t="shared" si="0"/>
        <v>2026</v>
      </c>
      <c r="I4" s="29">
        <f t="shared" si="0"/>
        <v>2027</v>
      </c>
      <c r="J4" s="29">
        <f t="shared" si="0"/>
        <v>2028</v>
      </c>
      <c r="K4" s="29">
        <f t="shared" si="0"/>
        <v>2029</v>
      </c>
      <c r="L4" s="29">
        <f t="shared" si="0"/>
        <v>2030</v>
      </c>
      <c r="M4" s="29">
        <f t="shared" si="0"/>
        <v>2031</v>
      </c>
      <c r="N4" s="29">
        <f t="shared" si="0"/>
        <v>2032</v>
      </c>
      <c r="O4" s="29">
        <f t="shared" si="0"/>
        <v>2033</v>
      </c>
    </row>
    <row r="5" spans="2:15" x14ac:dyDescent="0.2">
      <c r="B5" s="4" t="s">
        <v>45</v>
      </c>
      <c r="C5" s="9">
        <f t="shared" ref="C5:C10" si="1">SUM(D5:O5)</f>
        <v>0</v>
      </c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</row>
    <row r="6" spans="2:15" x14ac:dyDescent="0.2">
      <c r="B6" s="4" t="s">
        <v>349</v>
      </c>
      <c r="C6" s="183">
        <f t="shared" si="1"/>
        <v>0</v>
      </c>
      <c r="D6" s="181"/>
      <c r="E6" s="181"/>
      <c r="F6" s="181"/>
      <c r="G6" s="181"/>
      <c r="H6" s="181"/>
      <c r="I6" s="181"/>
      <c r="J6" s="181"/>
      <c r="K6" s="181"/>
      <c r="L6" s="181"/>
      <c r="M6" s="181"/>
      <c r="N6" s="181"/>
      <c r="O6" s="181"/>
    </row>
    <row r="7" spans="2:15" ht="12" thickBot="1" x14ac:dyDescent="0.25">
      <c r="B7" s="61" t="s">
        <v>44</v>
      </c>
      <c r="C7" s="182">
        <f t="shared" si="1"/>
        <v>0</v>
      </c>
      <c r="D7" s="182">
        <f>D5-D6</f>
        <v>0</v>
      </c>
      <c r="E7" s="182">
        <f t="shared" ref="E7:N7" si="2">E5-E6</f>
        <v>0</v>
      </c>
      <c r="F7" s="182">
        <f t="shared" si="2"/>
        <v>0</v>
      </c>
      <c r="G7" s="182">
        <f t="shared" si="2"/>
        <v>0</v>
      </c>
      <c r="H7" s="182">
        <f t="shared" si="2"/>
        <v>0</v>
      </c>
      <c r="I7" s="182">
        <f t="shared" si="2"/>
        <v>0</v>
      </c>
      <c r="J7" s="182">
        <f t="shared" si="2"/>
        <v>0</v>
      </c>
      <c r="K7" s="182">
        <f t="shared" si="2"/>
        <v>0</v>
      </c>
      <c r="L7" s="182">
        <f t="shared" si="2"/>
        <v>0</v>
      </c>
      <c r="M7" s="182">
        <f t="shared" si="2"/>
        <v>0</v>
      </c>
      <c r="N7" s="182">
        <f t="shared" si="2"/>
        <v>0</v>
      </c>
      <c r="O7" s="182"/>
    </row>
    <row r="8" spans="2:15" ht="12" thickTop="1" x14ac:dyDescent="0.2">
      <c r="B8" s="59" t="s">
        <v>47</v>
      </c>
      <c r="C8" s="60">
        <f t="shared" si="1"/>
        <v>0</v>
      </c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  <c r="O8" s="60"/>
    </row>
    <row r="9" spans="2:15" x14ac:dyDescent="0.2">
      <c r="B9" s="4" t="s">
        <v>139</v>
      </c>
      <c r="C9" s="9">
        <f t="shared" si="1"/>
        <v>0</v>
      </c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</row>
    <row r="10" spans="2:15" x14ac:dyDescent="0.2">
      <c r="B10" s="4" t="s">
        <v>140</v>
      </c>
      <c r="C10" s="9">
        <f t="shared" si="1"/>
        <v>0</v>
      </c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</row>
    <row r="12" spans="2:15" x14ac:dyDescent="0.2">
      <c r="B12" s="22" t="s">
        <v>142</v>
      </c>
    </row>
    <row r="13" spans="2:15" x14ac:dyDescent="0.2">
      <c r="B13" s="9" t="s">
        <v>48</v>
      </c>
      <c r="C13" s="9">
        <f>SUM(D13:O13)</f>
        <v>0</v>
      </c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</row>
    <row r="14" spans="2:15" x14ac:dyDescent="0.2">
      <c r="B14" s="9" t="s">
        <v>309</v>
      </c>
      <c r="C14" s="9">
        <f>SUM(D14:O14)</f>
        <v>0</v>
      </c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</row>
    <row r="15" spans="2:15" ht="12" thickBot="1" x14ac:dyDescent="0.25">
      <c r="B15" s="9" t="s">
        <v>310</v>
      </c>
      <c r="C15" s="62">
        <f>SUM(D15:O15)</f>
        <v>0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</row>
    <row r="16" spans="2:15" ht="12" thickBot="1" x14ac:dyDescent="0.25">
      <c r="B16" s="174" t="s">
        <v>138</v>
      </c>
      <c r="C16" s="140">
        <f>SUM(D16:O16)</f>
        <v>0</v>
      </c>
      <c r="D16" s="175">
        <f>SUM(D13:D15)</f>
        <v>0</v>
      </c>
      <c r="E16" s="15">
        <f t="shared" ref="E16:O16" si="3">SUM(E13:E15)</f>
        <v>0</v>
      </c>
      <c r="F16" s="15">
        <f t="shared" si="3"/>
        <v>0</v>
      </c>
      <c r="G16" s="15">
        <f t="shared" si="3"/>
        <v>0</v>
      </c>
      <c r="H16" s="15">
        <f t="shared" si="3"/>
        <v>0</v>
      </c>
      <c r="I16" s="15">
        <f t="shared" si="3"/>
        <v>0</v>
      </c>
      <c r="J16" s="15">
        <f t="shared" si="3"/>
        <v>0</v>
      </c>
      <c r="K16" s="15">
        <f t="shared" si="3"/>
        <v>0</v>
      </c>
      <c r="L16" s="15">
        <f t="shared" si="3"/>
        <v>0</v>
      </c>
      <c r="M16" s="15">
        <f t="shared" si="3"/>
        <v>0</v>
      </c>
      <c r="N16" s="15">
        <f t="shared" si="3"/>
        <v>0</v>
      </c>
      <c r="O16" s="15">
        <f t="shared" si="3"/>
        <v>0</v>
      </c>
    </row>
    <row r="19" spans="2:15" x14ac:dyDescent="0.2">
      <c r="B19" s="4"/>
      <c r="C19" s="4"/>
      <c r="D19" s="4" t="s">
        <v>13</v>
      </c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</row>
    <row r="20" spans="2:15" x14ac:dyDescent="0.2">
      <c r="B20" s="5"/>
      <c r="C20" s="5"/>
      <c r="D20" s="4">
        <v>1</v>
      </c>
      <c r="E20" s="4">
        <v>2</v>
      </c>
      <c r="F20" s="4">
        <v>3</v>
      </c>
      <c r="G20" s="4">
        <v>4</v>
      </c>
      <c r="H20" s="4">
        <v>5</v>
      </c>
      <c r="I20" s="4">
        <v>6</v>
      </c>
      <c r="J20" s="4">
        <v>7</v>
      </c>
      <c r="K20" s="4">
        <v>8</v>
      </c>
      <c r="L20" s="4">
        <v>9</v>
      </c>
      <c r="M20" s="4">
        <v>10</v>
      </c>
      <c r="N20" s="4">
        <v>11</v>
      </c>
      <c r="O20" s="4">
        <v>12</v>
      </c>
    </row>
    <row r="21" spans="2:15" x14ac:dyDescent="0.2">
      <c r="B21" s="7" t="s">
        <v>46</v>
      </c>
      <c r="C21" s="7" t="s">
        <v>12</v>
      </c>
      <c r="D21" s="29">
        <v>2022</v>
      </c>
      <c r="E21" s="29">
        <f>E4</f>
        <v>2023</v>
      </c>
      <c r="F21" s="29">
        <f>F4</f>
        <v>2024</v>
      </c>
      <c r="G21" s="29">
        <f t="shared" ref="G21:O21" si="4">G4</f>
        <v>2025</v>
      </c>
      <c r="H21" s="29">
        <f t="shared" si="4"/>
        <v>2026</v>
      </c>
      <c r="I21" s="29">
        <f t="shared" si="4"/>
        <v>2027</v>
      </c>
      <c r="J21" s="29">
        <f t="shared" si="4"/>
        <v>2028</v>
      </c>
      <c r="K21" s="29">
        <f t="shared" si="4"/>
        <v>2029</v>
      </c>
      <c r="L21" s="29">
        <f t="shared" si="4"/>
        <v>2030</v>
      </c>
      <c r="M21" s="29">
        <f t="shared" si="4"/>
        <v>2031</v>
      </c>
      <c r="N21" s="29">
        <f t="shared" si="4"/>
        <v>2032</v>
      </c>
      <c r="O21" s="29">
        <f t="shared" si="4"/>
        <v>2033</v>
      </c>
    </row>
    <row r="22" spans="2:15" x14ac:dyDescent="0.2">
      <c r="B22" s="4" t="s">
        <v>45</v>
      </c>
      <c r="C22" s="9">
        <f t="shared" ref="C22:C27" si="5">SUM(D22:O22)</f>
        <v>0</v>
      </c>
      <c r="D22" s="10">
        <v>0</v>
      </c>
      <c r="E22" s="10">
        <v>0</v>
      </c>
      <c r="F22" s="10">
        <v>0</v>
      </c>
      <c r="G22" s="10">
        <v>0</v>
      </c>
      <c r="H22" s="10">
        <v>0</v>
      </c>
      <c r="I22" s="10">
        <v>0</v>
      </c>
      <c r="J22" s="10">
        <v>0</v>
      </c>
      <c r="K22" s="10">
        <v>0</v>
      </c>
      <c r="L22" s="10">
        <v>0</v>
      </c>
      <c r="M22" s="10">
        <v>0</v>
      </c>
      <c r="N22" s="10">
        <v>0</v>
      </c>
      <c r="O22" s="10"/>
    </row>
    <row r="23" spans="2:15" x14ac:dyDescent="0.2">
      <c r="B23" s="4" t="s">
        <v>339</v>
      </c>
      <c r="C23" s="183">
        <f t="shared" si="5"/>
        <v>5.9499999999999993</v>
      </c>
      <c r="D23" s="181">
        <v>0.3</v>
      </c>
      <c r="E23" s="181">
        <v>1.1299999999999999</v>
      </c>
      <c r="F23" s="181">
        <v>1.1299999999999999</v>
      </c>
      <c r="G23" s="181">
        <v>1.1299999999999999</v>
      </c>
      <c r="H23" s="181">
        <v>1.1299999999999999</v>
      </c>
      <c r="I23" s="181">
        <v>1.1299999999999999</v>
      </c>
      <c r="J23" s="181"/>
      <c r="K23" s="181"/>
      <c r="L23" s="181"/>
      <c r="M23" s="181"/>
      <c r="N23" s="181"/>
      <c r="O23" s="181"/>
    </row>
    <row r="24" spans="2:15" ht="12" thickBot="1" x14ac:dyDescent="0.25">
      <c r="B24" s="61" t="s">
        <v>44</v>
      </c>
      <c r="C24" s="182">
        <f t="shared" si="5"/>
        <v>-5.9499999999999993</v>
      </c>
      <c r="D24" s="182">
        <f>D22-D23</f>
        <v>-0.3</v>
      </c>
      <c r="E24" s="182">
        <f t="shared" ref="E24:O24" si="6">E22-E23</f>
        <v>-1.1299999999999999</v>
      </c>
      <c r="F24" s="182">
        <f t="shared" si="6"/>
        <v>-1.1299999999999999</v>
      </c>
      <c r="G24" s="182">
        <f t="shared" si="6"/>
        <v>-1.1299999999999999</v>
      </c>
      <c r="H24" s="182">
        <f t="shared" si="6"/>
        <v>-1.1299999999999999</v>
      </c>
      <c r="I24" s="182">
        <f t="shared" si="6"/>
        <v>-1.1299999999999999</v>
      </c>
      <c r="J24" s="182">
        <f t="shared" si="6"/>
        <v>0</v>
      </c>
      <c r="K24" s="182">
        <f t="shared" si="6"/>
        <v>0</v>
      </c>
      <c r="L24" s="182">
        <f t="shared" si="6"/>
        <v>0</v>
      </c>
      <c r="M24" s="182">
        <f t="shared" si="6"/>
        <v>0</v>
      </c>
      <c r="N24" s="182">
        <f t="shared" si="6"/>
        <v>0</v>
      </c>
      <c r="O24" s="182">
        <f t="shared" si="6"/>
        <v>0</v>
      </c>
    </row>
    <row r="25" spans="2:15" ht="12" thickTop="1" x14ac:dyDescent="0.2">
      <c r="B25" s="59" t="s">
        <v>47</v>
      </c>
      <c r="C25" s="60">
        <f t="shared" si="5"/>
        <v>-1325100</v>
      </c>
      <c r="D25" s="60">
        <f>-[4]Sheet1!G$14</f>
        <v>-84000</v>
      </c>
      <c r="E25" s="60">
        <f>-[4]Sheet1!H$14</f>
        <v>-248220</v>
      </c>
      <c r="F25" s="60">
        <f>-[4]Sheet1!I$14</f>
        <v>-248220</v>
      </c>
      <c r="G25" s="60">
        <f>-[4]Sheet1!J$14</f>
        <v>-248220</v>
      </c>
      <c r="H25" s="60">
        <f>-[4]Sheet1!K$14</f>
        <v>-248220</v>
      </c>
      <c r="I25" s="60">
        <f>-[4]Sheet1!L$14</f>
        <v>-248220</v>
      </c>
      <c r="J25" s="60">
        <f>-[4]Sheet1!M$14</f>
        <v>0</v>
      </c>
      <c r="K25" s="60">
        <f>-[4]Sheet1!N$14</f>
        <v>0</v>
      </c>
      <c r="L25" s="60">
        <f>-[4]Sheet1!O$14</f>
        <v>0</v>
      </c>
      <c r="M25" s="60">
        <f>-[4]Sheet1!P$14</f>
        <v>0</v>
      </c>
      <c r="N25" s="60">
        <f>-[4]Sheet1!Q$14</f>
        <v>0</v>
      </c>
      <c r="O25" s="60">
        <f>-[4]Sheet1!R$14</f>
        <v>0</v>
      </c>
    </row>
    <row r="26" spans="2:15" x14ac:dyDescent="0.2">
      <c r="B26" s="4" t="s">
        <v>139</v>
      </c>
      <c r="C26" s="63">
        <f t="shared" si="5"/>
        <v>0</v>
      </c>
      <c r="D26" s="63">
        <v>0</v>
      </c>
      <c r="E26" s="63">
        <v>0</v>
      </c>
      <c r="F26" s="63">
        <v>0</v>
      </c>
      <c r="G26" s="63">
        <v>0</v>
      </c>
      <c r="H26" s="63">
        <v>0</v>
      </c>
      <c r="I26" s="63">
        <v>0</v>
      </c>
      <c r="J26" s="63">
        <v>0</v>
      </c>
      <c r="K26" s="63">
        <v>0</v>
      </c>
      <c r="L26" s="63">
        <v>0</v>
      </c>
      <c r="M26" s="63">
        <v>0</v>
      </c>
      <c r="N26" s="63">
        <v>0</v>
      </c>
      <c r="O26" s="63">
        <v>0</v>
      </c>
    </row>
    <row r="27" spans="2:15" x14ac:dyDescent="0.2">
      <c r="B27" s="4" t="s">
        <v>140</v>
      </c>
      <c r="C27" s="63">
        <f t="shared" si="5"/>
        <v>0</v>
      </c>
      <c r="D27" s="63">
        <v>0</v>
      </c>
      <c r="E27" s="63">
        <v>0</v>
      </c>
      <c r="F27" s="63">
        <v>0</v>
      </c>
      <c r="G27" s="63">
        <v>0</v>
      </c>
      <c r="H27" s="63">
        <v>0</v>
      </c>
      <c r="I27" s="63">
        <v>0</v>
      </c>
      <c r="J27" s="63">
        <v>0</v>
      </c>
      <c r="K27" s="63">
        <v>0</v>
      </c>
      <c r="L27" s="63">
        <v>0</v>
      </c>
      <c r="M27" s="63">
        <v>0</v>
      </c>
      <c r="N27" s="63">
        <v>0</v>
      </c>
      <c r="O27" s="63">
        <v>0</v>
      </c>
    </row>
    <row r="28" spans="2:15" x14ac:dyDescent="0.2"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2:15" x14ac:dyDescent="0.2">
      <c r="B29" s="22" t="s">
        <v>143</v>
      </c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2:15" x14ac:dyDescent="0.2">
      <c r="B30" s="4" t="s">
        <v>48</v>
      </c>
      <c r="C30" s="9">
        <f>SUM(D30:O30)</f>
        <v>-27874803.600000001</v>
      </c>
      <c r="D30" s="9">
        <f>-[4]Sheet1!G$37</f>
        <v>-1767024</v>
      </c>
      <c r="E30" s="9">
        <f>-[4]Sheet1!H$37</f>
        <v>-5221555.92</v>
      </c>
      <c r="F30" s="9">
        <f>-[4]Sheet1!I$37</f>
        <v>-5221555.92</v>
      </c>
      <c r="G30" s="9">
        <f>-[4]Sheet1!J$37</f>
        <v>-5221555.92</v>
      </c>
      <c r="H30" s="9">
        <f>-[4]Sheet1!K$37</f>
        <v>-5221555.92</v>
      </c>
      <c r="I30" s="9">
        <f>-[4]Sheet1!L$37</f>
        <v>-5221555.92</v>
      </c>
      <c r="J30" s="9">
        <f>-[4]Sheet1!M$37</f>
        <v>0</v>
      </c>
      <c r="K30" s="9">
        <f>-[4]Sheet1!N$37</f>
        <v>0</v>
      </c>
      <c r="L30" s="9">
        <f>-[4]Sheet1!O$37</f>
        <v>0</v>
      </c>
      <c r="M30" s="9">
        <f>-[4]Sheet1!P$37</f>
        <v>0</v>
      </c>
      <c r="N30" s="9">
        <f>-[4]Sheet1!Q$37</f>
        <v>0</v>
      </c>
      <c r="O30" s="9">
        <f>-[4]Sheet1!R$37</f>
        <v>0</v>
      </c>
    </row>
    <row r="31" spans="2:15" x14ac:dyDescent="0.2">
      <c r="B31" s="4" t="s">
        <v>309</v>
      </c>
      <c r="C31" s="63">
        <f>SUM(D31:O31)</f>
        <v>0</v>
      </c>
      <c r="D31" s="63">
        <v>0</v>
      </c>
      <c r="E31" s="63">
        <v>0</v>
      </c>
      <c r="F31" s="63">
        <v>0</v>
      </c>
      <c r="G31" s="63">
        <v>0</v>
      </c>
      <c r="H31" s="63">
        <v>0</v>
      </c>
      <c r="I31" s="63">
        <v>0</v>
      </c>
      <c r="J31" s="63">
        <v>0</v>
      </c>
      <c r="K31" s="63">
        <v>0</v>
      </c>
      <c r="L31" s="63">
        <v>0</v>
      </c>
      <c r="M31" s="63">
        <v>0</v>
      </c>
      <c r="N31" s="63">
        <v>0</v>
      </c>
      <c r="O31" s="63">
        <v>0</v>
      </c>
    </row>
    <row r="32" spans="2:15" ht="12" thickBot="1" x14ac:dyDescent="0.25">
      <c r="B32" s="4" t="s">
        <v>310</v>
      </c>
      <c r="C32" s="64">
        <f>SUM(D32:O32)</f>
        <v>0</v>
      </c>
      <c r="D32" s="63">
        <v>0</v>
      </c>
      <c r="E32" s="63">
        <v>0</v>
      </c>
      <c r="F32" s="63">
        <v>0</v>
      </c>
      <c r="G32" s="63">
        <v>0</v>
      </c>
      <c r="H32" s="63">
        <v>0</v>
      </c>
      <c r="I32" s="63">
        <v>0</v>
      </c>
      <c r="J32" s="63">
        <v>0</v>
      </c>
      <c r="K32" s="63">
        <v>0</v>
      </c>
      <c r="L32" s="63">
        <v>0</v>
      </c>
      <c r="M32" s="63">
        <v>0</v>
      </c>
      <c r="N32" s="63">
        <v>0</v>
      </c>
      <c r="O32" s="63">
        <v>0</v>
      </c>
    </row>
    <row r="33" spans="2:15" ht="12" thickBot="1" x14ac:dyDescent="0.25">
      <c r="B33" s="176" t="s">
        <v>138</v>
      </c>
      <c r="C33" s="140">
        <f>SUM(D33:O33)</f>
        <v>-27874803.600000001</v>
      </c>
      <c r="D33" s="175">
        <f>SUM(D30:D32)</f>
        <v>-1767024</v>
      </c>
      <c r="E33" s="15">
        <f t="shared" ref="E33:O33" si="7">SUM(E30:E32)</f>
        <v>-5221555.92</v>
      </c>
      <c r="F33" s="15">
        <f t="shared" si="7"/>
        <v>-5221555.92</v>
      </c>
      <c r="G33" s="15">
        <f t="shared" si="7"/>
        <v>-5221555.92</v>
      </c>
      <c r="H33" s="15">
        <f t="shared" si="7"/>
        <v>-5221555.92</v>
      </c>
      <c r="I33" s="15">
        <f t="shared" si="7"/>
        <v>-5221555.92</v>
      </c>
      <c r="J33" s="15">
        <f t="shared" si="7"/>
        <v>0</v>
      </c>
      <c r="K33" s="15">
        <f t="shared" si="7"/>
        <v>0</v>
      </c>
      <c r="L33" s="15">
        <f t="shared" si="7"/>
        <v>0</v>
      </c>
      <c r="M33" s="15">
        <f t="shared" si="7"/>
        <v>0</v>
      </c>
      <c r="N33" s="15">
        <f t="shared" si="7"/>
        <v>0</v>
      </c>
      <c r="O33" s="15">
        <f t="shared" si="7"/>
        <v>0</v>
      </c>
    </row>
    <row r="35" spans="2:15" x14ac:dyDescent="0.2">
      <c r="B35" s="3" t="s">
        <v>2</v>
      </c>
    </row>
    <row r="36" spans="2:15" x14ac:dyDescent="0.2">
      <c r="B36" s="3" t="s">
        <v>49</v>
      </c>
    </row>
  </sheetData>
  <phoneticPr fontId="2" type="noConversion"/>
  <pageMargins left="0.2421875" right="0.2421875" top="1" bottom="1" header="0.5" footer="0.5"/>
  <pageSetup paperSize="9" scale="75" orientation="landscape" r:id="rId1"/>
  <headerFooter alignWithMargins="0">
    <oddHeader>&amp;LPríloha 7: Štandardné tabuľky - Cesty
&amp;"Arial,Tučné"&amp;12 07 Ocenenie času</oddHeader>
    <oddFooter>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</sheetPr>
  <dimension ref="B1:P23"/>
  <sheetViews>
    <sheetView showWhiteSpace="0" zoomScaleNormal="100" workbookViewId="0">
      <selection activeCell="B1" sqref="B1"/>
    </sheetView>
  </sheetViews>
  <sheetFormatPr defaultRowHeight="11.25" x14ac:dyDescent="0.2"/>
  <cols>
    <col min="1" max="1" width="2.85546875" style="65" customWidth="1"/>
    <col min="2" max="2" width="33.7109375" style="65" customWidth="1"/>
    <col min="3" max="3" width="13.42578125" style="65" bestFit="1" customWidth="1"/>
    <col min="4" max="6" width="5" style="65" bestFit="1" customWidth="1"/>
    <col min="7" max="16" width="5" style="65" customWidth="1"/>
    <col min="17" max="16384" width="9.140625" style="65"/>
  </cols>
  <sheetData>
    <row r="1" spans="2:16" x14ac:dyDescent="0.2">
      <c r="B1" s="180" t="s">
        <v>338</v>
      </c>
    </row>
    <row r="2" spans="2:16" x14ac:dyDescent="0.2">
      <c r="C2" s="66"/>
      <c r="D2" s="66" t="s">
        <v>13</v>
      </c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</row>
    <row r="3" spans="2:16" x14ac:dyDescent="0.2">
      <c r="B3" s="67" t="s">
        <v>147</v>
      </c>
      <c r="C3" s="67"/>
      <c r="D3" s="66">
        <v>1</v>
      </c>
      <c r="E3" s="66">
        <v>2</v>
      </c>
      <c r="F3" s="66">
        <v>3</v>
      </c>
      <c r="G3" s="66">
        <v>4</v>
      </c>
      <c r="H3" s="66">
        <v>5</v>
      </c>
      <c r="I3" s="66">
        <v>6</v>
      </c>
      <c r="J3" s="66">
        <v>7</v>
      </c>
      <c r="K3" s="66">
        <v>8</v>
      </c>
      <c r="L3" s="66">
        <v>9</v>
      </c>
      <c r="M3" s="66">
        <v>10</v>
      </c>
      <c r="N3" s="66">
        <v>11</v>
      </c>
      <c r="O3" s="66">
        <v>12</v>
      </c>
      <c r="P3" s="66">
        <v>13</v>
      </c>
    </row>
    <row r="4" spans="2:16" x14ac:dyDescent="0.2">
      <c r="B4" s="74" t="s">
        <v>66</v>
      </c>
      <c r="C4" s="74" t="s">
        <v>12</v>
      </c>
      <c r="D4" s="75">
        <v>2022</v>
      </c>
      <c r="E4" s="75">
        <f>$D$4+D3</f>
        <v>2023</v>
      </c>
      <c r="F4" s="75">
        <f>$D$4+E3</f>
        <v>2024</v>
      </c>
      <c r="G4" s="75">
        <f t="shared" ref="G4:P4" si="0">$D$4+F3</f>
        <v>2025</v>
      </c>
      <c r="H4" s="75">
        <f t="shared" si="0"/>
        <v>2026</v>
      </c>
      <c r="I4" s="75">
        <f t="shared" si="0"/>
        <v>2027</v>
      </c>
      <c r="J4" s="75">
        <f t="shared" si="0"/>
        <v>2028</v>
      </c>
      <c r="K4" s="75">
        <f t="shared" si="0"/>
        <v>2029</v>
      </c>
      <c r="L4" s="75">
        <f t="shared" si="0"/>
        <v>2030</v>
      </c>
      <c r="M4" s="75">
        <f t="shared" si="0"/>
        <v>2031</v>
      </c>
      <c r="N4" s="75">
        <f t="shared" si="0"/>
        <v>2032</v>
      </c>
      <c r="O4" s="75">
        <f t="shared" si="0"/>
        <v>2033</v>
      </c>
      <c r="P4" s="75">
        <f t="shared" si="0"/>
        <v>2034</v>
      </c>
    </row>
    <row r="5" spans="2:16" x14ac:dyDescent="0.2">
      <c r="B5" s="66" t="s">
        <v>144</v>
      </c>
      <c r="C5" s="68">
        <f>SUM(D5:P5)</f>
        <v>0</v>
      </c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</row>
    <row r="6" spans="2:16" x14ac:dyDescent="0.2">
      <c r="B6" s="66" t="s">
        <v>145</v>
      </c>
      <c r="C6" s="68">
        <f>SUM(D6:P6)</f>
        <v>0</v>
      </c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</row>
    <row r="7" spans="2:16" x14ac:dyDescent="0.2">
      <c r="B7" s="67" t="s">
        <v>146</v>
      </c>
      <c r="C7" s="70">
        <f>SUM(D7:P7)</f>
        <v>0</v>
      </c>
      <c r="D7" s="70">
        <f>SUM(D5:D6)</f>
        <v>0</v>
      </c>
      <c r="E7" s="70">
        <f t="shared" ref="E7:P7" si="1">SUM(E5:E6)</f>
        <v>0</v>
      </c>
      <c r="F7" s="70">
        <f t="shared" si="1"/>
        <v>0</v>
      </c>
      <c r="G7" s="70">
        <f t="shared" si="1"/>
        <v>0</v>
      </c>
      <c r="H7" s="70">
        <f t="shared" si="1"/>
        <v>0</v>
      </c>
      <c r="I7" s="70">
        <f t="shared" si="1"/>
        <v>0</v>
      </c>
      <c r="J7" s="70">
        <f t="shared" si="1"/>
        <v>0</v>
      </c>
      <c r="K7" s="70">
        <f t="shared" si="1"/>
        <v>0</v>
      </c>
      <c r="L7" s="70">
        <f t="shared" si="1"/>
        <v>0</v>
      </c>
      <c r="M7" s="70">
        <f t="shared" si="1"/>
        <v>0</v>
      </c>
      <c r="N7" s="70">
        <f t="shared" si="1"/>
        <v>0</v>
      </c>
      <c r="O7" s="70">
        <f t="shared" si="1"/>
        <v>0</v>
      </c>
      <c r="P7" s="70">
        <f t="shared" si="1"/>
        <v>0</v>
      </c>
    </row>
    <row r="10" spans="2:16" x14ac:dyDescent="0.2">
      <c r="C10" s="66"/>
      <c r="D10" s="66" t="s">
        <v>13</v>
      </c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6"/>
      <c r="P10" s="66"/>
    </row>
    <row r="11" spans="2:16" x14ac:dyDescent="0.2">
      <c r="B11" s="67" t="s">
        <v>149</v>
      </c>
      <c r="C11" s="67"/>
      <c r="D11" s="71">
        <v>1</v>
      </c>
      <c r="E11" s="71">
        <v>2</v>
      </c>
      <c r="F11" s="71">
        <v>3</v>
      </c>
      <c r="G11" s="71">
        <v>4</v>
      </c>
      <c r="H11" s="71">
        <v>5</v>
      </c>
      <c r="I11" s="71">
        <v>6</v>
      </c>
      <c r="J11" s="71">
        <v>7</v>
      </c>
      <c r="K11" s="71">
        <v>8</v>
      </c>
      <c r="L11" s="71">
        <v>9</v>
      </c>
      <c r="M11" s="71">
        <v>10</v>
      </c>
      <c r="N11" s="71">
        <v>11</v>
      </c>
      <c r="O11" s="71">
        <v>12</v>
      </c>
      <c r="P11" s="71">
        <v>13</v>
      </c>
    </row>
    <row r="12" spans="2:16" x14ac:dyDescent="0.2">
      <c r="B12" s="74" t="s">
        <v>68</v>
      </c>
      <c r="C12" s="74" t="s">
        <v>12</v>
      </c>
      <c r="D12" s="76">
        <v>2022</v>
      </c>
      <c r="E12" s="76">
        <f>$D$4+D11</f>
        <v>2023</v>
      </c>
      <c r="F12" s="76">
        <f>$D$4+E11</f>
        <v>2024</v>
      </c>
      <c r="G12" s="76">
        <f t="shared" ref="G12:P12" si="2">$D$4+F11</f>
        <v>2025</v>
      </c>
      <c r="H12" s="76">
        <f t="shared" si="2"/>
        <v>2026</v>
      </c>
      <c r="I12" s="76">
        <f t="shared" si="2"/>
        <v>2027</v>
      </c>
      <c r="J12" s="76">
        <f t="shared" si="2"/>
        <v>2028</v>
      </c>
      <c r="K12" s="76">
        <f t="shared" si="2"/>
        <v>2029</v>
      </c>
      <c r="L12" s="76">
        <f t="shared" si="2"/>
        <v>2030</v>
      </c>
      <c r="M12" s="76">
        <f t="shared" si="2"/>
        <v>2031</v>
      </c>
      <c r="N12" s="76">
        <f t="shared" si="2"/>
        <v>2032</v>
      </c>
      <c r="O12" s="76">
        <f t="shared" si="2"/>
        <v>2033</v>
      </c>
      <c r="P12" s="76">
        <f t="shared" si="2"/>
        <v>2034</v>
      </c>
    </row>
    <row r="13" spans="2:16" x14ac:dyDescent="0.2">
      <c r="B13" s="66" t="s">
        <v>144</v>
      </c>
      <c r="C13" s="68">
        <f>SUM(D13:P13)</f>
        <v>0</v>
      </c>
      <c r="D13" s="69"/>
      <c r="E13" s="69"/>
      <c r="F13" s="69"/>
      <c r="G13" s="69"/>
      <c r="H13" s="69"/>
      <c r="I13" s="69"/>
      <c r="J13" s="69"/>
      <c r="K13" s="69"/>
      <c r="L13" s="69"/>
      <c r="M13" s="69"/>
      <c r="N13" s="69"/>
      <c r="O13" s="69"/>
      <c r="P13" s="69"/>
    </row>
    <row r="14" spans="2:16" x14ac:dyDescent="0.2">
      <c r="B14" s="66" t="s">
        <v>145</v>
      </c>
      <c r="C14" s="68">
        <f>SUM(D14:P14)</f>
        <v>0</v>
      </c>
      <c r="D14" s="69"/>
      <c r="E14" s="69"/>
      <c r="F14" s="69"/>
      <c r="G14" s="69"/>
      <c r="H14" s="69"/>
      <c r="I14" s="69"/>
      <c r="J14" s="69"/>
      <c r="K14" s="69"/>
      <c r="L14" s="69"/>
      <c r="M14" s="69"/>
      <c r="N14" s="69"/>
      <c r="O14" s="69"/>
      <c r="P14" s="69"/>
    </row>
    <row r="15" spans="2:16" x14ac:dyDescent="0.2">
      <c r="B15" s="67" t="s">
        <v>146</v>
      </c>
      <c r="C15" s="70">
        <f>SUM(D15:P15)</f>
        <v>0</v>
      </c>
      <c r="D15" s="70">
        <f>SUM(D13:D14)</f>
        <v>0</v>
      </c>
      <c r="E15" s="70">
        <f t="shared" ref="E15:P15" si="3">SUM(E13:E14)</f>
        <v>0</v>
      </c>
      <c r="F15" s="70">
        <f t="shared" si="3"/>
        <v>0</v>
      </c>
      <c r="G15" s="70">
        <f t="shared" si="3"/>
        <v>0</v>
      </c>
      <c r="H15" s="70">
        <f t="shared" si="3"/>
        <v>0</v>
      </c>
      <c r="I15" s="70">
        <f t="shared" si="3"/>
        <v>0</v>
      </c>
      <c r="J15" s="70">
        <f t="shared" si="3"/>
        <v>0</v>
      </c>
      <c r="K15" s="70">
        <f t="shared" si="3"/>
        <v>0</v>
      </c>
      <c r="L15" s="70">
        <f t="shared" si="3"/>
        <v>0</v>
      </c>
      <c r="M15" s="70">
        <f t="shared" si="3"/>
        <v>0</v>
      </c>
      <c r="N15" s="70">
        <f t="shared" si="3"/>
        <v>0</v>
      </c>
      <c r="O15" s="70">
        <f t="shared" si="3"/>
        <v>0</v>
      </c>
      <c r="P15" s="70">
        <f t="shared" si="3"/>
        <v>0</v>
      </c>
    </row>
    <row r="18" spans="2:16" x14ac:dyDescent="0.2">
      <c r="C18" s="66"/>
      <c r="D18" s="66" t="s">
        <v>13</v>
      </c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</row>
    <row r="19" spans="2:16" x14ac:dyDescent="0.2">
      <c r="B19" s="67" t="s">
        <v>150</v>
      </c>
      <c r="C19" s="67"/>
      <c r="D19" s="66">
        <v>1</v>
      </c>
      <c r="E19" s="66">
        <v>2</v>
      </c>
      <c r="F19" s="66">
        <v>3</v>
      </c>
      <c r="G19" s="66">
        <v>4</v>
      </c>
      <c r="H19" s="66">
        <v>5</v>
      </c>
      <c r="I19" s="66">
        <v>6</v>
      </c>
      <c r="J19" s="66">
        <v>7</v>
      </c>
      <c r="K19" s="66">
        <v>8</v>
      </c>
      <c r="L19" s="66">
        <v>9</v>
      </c>
      <c r="M19" s="66">
        <v>10</v>
      </c>
      <c r="N19" s="66">
        <v>11</v>
      </c>
      <c r="O19" s="66">
        <v>12</v>
      </c>
      <c r="P19" s="66">
        <v>13</v>
      </c>
    </row>
    <row r="20" spans="2:16" x14ac:dyDescent="0.2">
      <c r="B20" s="74" t="s">
        <v>148</v>
      </c>
      <c r="C20" s="74" t="s">
        <v>12</v>
      </c>
      <c r="D20" s="75">
        <f t="shared" ref="D20:P20" si="4">D12</f>
        <v>2022</v>
      </c>
      <c r="E20" s="75">
        <f t="shared" si="4"/>
        <v>2023</v>
      </c>
      <c r="F20" s="75">
        <f t="shared" si="4"/>
        <v>2024</v>
      </c>
      <c r="G20" s="75">
        <f t="shared" si="4"/>
        <v>2025</v>
      </c>
      <c r="H20" s="75">
        <f t="shared" si="4"/>
        <v>2026</v>
      </c>
      <c r="I20" s="75">
        <f t="shared" si="4"/>
        <v>2027</v>
      </c>
      <c r="J20" s="75">
        <f t="shared" si="4"/>
        <v>2028</v>
      </c>
      <c r="K20" s="75">
        <f t="shared" si="4"/>
        <v>2029</v>
      </c>
      <c r="L20" s="75">
        <f t="shared" si="4"/>
        <v>2030</v>
      </c>
      <c r="M20" s="75">
        <f t="shared" si="4"/>
        <v>2031</v>
      </c>
      <c r="N20" s="75">
        <f t="shared" si="4"/>
        <v>2032</v>
      </c>
      <c r="O20" s="75">
        <f t="shared" si="4"/>
        <v>2033</v>
      </c>
      <c r="P20" s="75">
        <f t="shared" si="4"/>
        <v>2034</v>
      </c>
    </row>
    <row r="21" spans="2:16" x14ac:dyDescent="0.2">
      <c r="B21" s="66" t="s">
        <v>144</v>
      </c>
      <c r="C21" s="68">
        <f>SUM(D21:P21)</f>
        <v>0</v>
      </c>
      <c r="D21" s="72">
        <f>D5-D13</f>
        <v>0</v>
      </c>
      <c r="E21" s="72">
        <f t="shared" ref="E21:P21" si="5">E5-E13</f>
        <v>0</v>
      </c>
      <c r="F21" s="72">
        <f t="shared" si="5"/>
        <v>0</v>
      </c>
      <c r="G21" s="72">
        <f t="shared" si="5"/>
        <v>0</v>
      </c>
      <c r="H21" s="72">
        <f t="shared" si="5"/>
        <v>0</v>
      </c>
      <c r="I21" s="72">
        <f t="shared" si="5"/>
        <v>0</v>
      </c>
      <c r="J21" s="72">
        <f t="shared" si="5"/>
        <v>0</v>
      </c>
      <c r="K21" s="72">
        <f t="shared" si="5"/>
        <v>0</v>
      </c>
      <c r="L21" s="72">
        <f t="shared" si="5"/>
        <v>0</v>
      </c>
      <c r="M21" s="72">
        <f t="shared" si="5"/>
        <v>0</v>
      </c>
      <c r="N21" s="72">
        <f t="shared" si="5"/>
        <v>0</v>
      </c>
      <c r="O21" s="72">
        <f t="shared" si="5"/>
        <v>0</v>
      </c>
      <c r="P21" s="72">
        <f t="shared" si="5"/>
        <v>0</v>
      </c>
    </row>
    <row r="22" spans="2:16" ht="12" thickBot="1" x14ac:dyDescent="0.25">
      <c r="B22" s="66" t="s">
        <v>145</v>
      </c>
      <c r="C22" s="79">
        <f>SUM(D22:P22)</f>
        <v>0</v>
      </c>
      <c r="D22" s="72">
        <f>D6-D14</f>
        <v>0</v>
      </c>
      <c r="E22" s="72">
        <f t="shared" ref="E22:P22" si="6">E6-E14</f>
        <v>0</v>
      </c>
      <c r="F22" s="72">
        <f t="shared" si="6"/>
        <v>0</v>
      </c>
      <c r="G22" s="72">
        <f t="shared" si="6"/>
        <v>0</v>
      </c>
      <c r="H22" s="72">
        <f t="shared" si="6"/>
        <v>0</v>
      </c>
      <c r="I22" s="72">
        <f t="shared" si="6"/>
        <v>0</v>
      </c>
      <c r="J22" s="72">
        <f t="shared" si="6"/>
        <v>0</v>
      </c>
      <c r="K22" s="72">
        <f t="shared" si="6"/>
        <v>0</v>
      </c>
      <c r="L22" s="72">
        <f t="shared" si="6"/>
        <v>0</v>
      </c>
      <c r="M22" s="72">
        <f t="shared" si="6"/>
        <v>0</v>
      </c>
      <c r="N22" s="72">
        <f t="shared" si="6"/>
        <v>0</v>
      </c>
      <c r="O22" s="72">
        <f t="shared" si="6"/>
        <v>0</v>
      </c>
      <c r="P22" s="72">
        <f t="shared" si="6"/>
        <v>0</v>
      </c>
    </row>
    <row r="23" spans="2:16" ht="12" thickBot="1" x14ac:dyDescent="0.25">
      <c r="B23" s="77" t="s">
        <v>151</v>
      </c>
      <c r="C23" s="173">
        <f>SUM(D23:P23)</f>
        <v>0</v>
      </c>
      <c r="D23" s="78">
        <f>SUM(D21:D22)</f>
        <v>0</v>
      </c>
      <c r="E23" s="73">
        <f t="shared" ref="E23:P23" si="7">SUM(E21:E22)</f>
        <v>0</v>
      </c>
      <c r="F23" s="73">
        <f t="shared" si="7"/>
        <v>0</v>
      </c>
      <c r="G23" s="73">
        <f t="shared" si="7"/>
        <v>0</v>
      </c>
      <c r="H23" s="73">
        <f t="shared" si="7"/>
        <v>0</v>
      </c>
      <c r="I23" s="73">
        <f t="shared" si="7"/>
        <v>0</v>
      </c>
      <c r="J23" s="73">
        <f t="shared" si="7"/>
        <v>0</v>
      </c>
      <c r="K23" s="73">
        <f t="shared" si="7"/>
        <v>0</v>
      </c>
      <c r="L23" s="73">
        <f t="shared" si="7"/>
        <v>0</v>
      </c>
      <c r="M23" s="73">
        <f t="shared" si="7"/>
        <v>0</v>
      </c>
      <c r="N23" s="73">
        <f t="shared" si="7"/>
        <v>0</v>
      </c>
      <c r="O23" s="73">
        <f t="shared" si="7"/>
        <v>0</v>
      </c>
      <c r="P23" s="73">
        <f t="shared" si="7"/>
        <v>0</v>
      </c>
    </row>
  </sheetData>
  <pageMargins left="0.18229166666666666" right="0.24791666666666667" top="1" bottom="1" header="0.5" footer="0.5"/>
  <pageSetup paperSize="9" scale="75" orientation="landscape" r:id="rId1"/>
  <headerFooter alignWithMargins="0">
    <oddHeader xml:space="preserve">&amp;LPríloha 7: Štandardné tabuľky - Cesty
&amp;"Arial,Tučné"&amp;12 08 Prevádzkové náklady vozidla </oddHeader>
    <oddFooter>Strana &amp;P z &amp;N</oddFooter>
  </headerFooter>
  <ignoredErrors>
    <ignoredError sqref="D7 D15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Parametre</vt:lpstr>
      <vt:lpstr>01 Investičné náklady</vt:lpstr>
      <vt:lpstr>02 Zostatková hodnota</vt:lpstr>
      <vt:lpstr>03 Prevádzkové výdavky</vt:lpstr>
      <vt:lpstr>04 Príjmy</vt:lpstr>
      <vt:lpstr>05 Financovanie</vt:lpstr>
      <vt:lpstr>06 Finančná analýza</vt:lpstr>
      <vt:lpstr>07 Ocenenie času</vt:lpstr>
      <vt:lpstr>08 Prevádzkové náklady vozidiel</vt:lpstr>
      <vt:lpstr>09 Nehodovosť</vt:lpstr>
      <vt:lpstr>10 Externality</vt:lpstr>
      <vt:lpstr>11 Ekonomická analýza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2020-03-13T09:43:03Z</dcterms:created>
  <dcterms:modified xsi:type="dcterms:W3CDTF">2020-08-05T15:07:05Z</dcterms:modified>
</cp:coreProperties>
</file>