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pivotTables/pivotTable2.xml" ContentType="application/vnd.openxmlformats-officedocument.spreadsheetml.pivotTable+xml"/>
  <Override PartName="/xl/comments2.xml" ContentType="application/vnd.openxmlformats-officedocument.spreadsheetml.comments+xml"/>
  <Override PartName="/xl/pivotTables/pivotTable3.xml" ContentType="application/vnd.openxmlformats-officedocument.spreadsheetml.pivotTable+xml"/>
  <Override PartName="/xl/comments3.xml" ContentType="application/vnd.openxmlformats-officedocument.spreadsheetml.comments+xml"/>
  <Override PartName="/xl/pivotTables/pivotTable4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  <Override PartName="/xl/threadedComments/threadedComment3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edochovicl\Documents\01 Projects\02 NDS 18\_Outputs\SU\2020-07-24\podklady_ict\"/>
    </mc:Choice>
  </mc:AlternateContent>
  <bookViews>
    <workbookView xWindow="0" yWindow="0" windowWidth="28800" windowHeight="12090"/>
  </bookViews>
  <sheets>
    <sheet name="FINAL_UCPA_Moduly" sheetId="10" r:id="rId1"/>
    <sheet name="TFC" sheetId="9" r:id="rId2"/>
    <sheet name="ECF" sheetId="8" r:id="rId3"/>
    <sheet name="UAW" sheetId="7" r:id="rId4"/>
    <sheet name="UUCW" sheetId="5" r:id="rId5"/>
    <sheet name="Skratky" sheetId="4" r:id="rId6"/>
    <sheet name="Zakaznicke sluzby" sheetId="1" r:id="rId7"/>
    <sheet name="PIVOT" sheetId="6" r:id="rId8"/>
    <sheet name="Sprava myta" sheetId="2" r:id="rId9"/>
    <sheet name="OBU" sheetId="3" r:id="rId10"/>
  </sheets>
  <definedNames>
    <definedName name="_xlnm._FilterDatabase" localSheetId="9" hidden="1">OBU!$B$2:$R$35</definedName>
    <definedName name="_xlnm._FilterDatabase" localSheetId="8" hidden="1">'Sprava myta'!$B$3:$S$98</definedName>
    <definedName name="_xlnm._FilterDatabase" localSheetId="4" hidden="1">UUCW!$A$2:$J$179</definedName>
    <definedName name="_xlnm._FilterDatabase" localSheetId="6" hidden="1">'Zakaznicke sluzby'!$B$3:$S$39</definedName>
  </definedNames>
  <calcPr calcId="191029"/>
  <pivotCaches>
    <pivotCache cacheId="0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3" i="5" l="1"/>
  <c r="S4" i="5"/>
  <c r="G9" i="10"/>
  <c r="R3" i="5"/>
  <c r="B4" i="5" l="1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3" i="5"/>
  <c r="D23" i="7"/>
  <c r="D22" i="7"/>
  <c r="D21" i="7"/>
  <c r="D20" i="7"/>
  <c r="D19" i="7"/>
  <c r="D18" i="7"/>
  <c r="D17" i="7"/>
  <c r="D16" i="7"/>
  <c r="D15" i="7"/>
  <c r="D14" i="7"/>
  <c r="D13" i="7"/>
  <c r="M4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2" i="5"/>
  <c r="M63" i="5"/>
  <c r="M64" i="5"/>
  <c r="M65" i="5"/>
  <c r="M66" i="5"/>
  <c r="M67" i="5"/>
  <c r="M68" i="5"/>
  <c r="M69" i="5"/>
  <c r="M70" i="5"/>
  <c r="M71" i="5"/>
  <c r="M72" i="5"/>
  <c r="M73" i="5"/>
  <c r="M74" i="5"/>
  <c r="M75" i="5"/>
  <c r="M76" i="5"/>
  <c r="M77" i="5"/>
  <c r="M78" i="5"/>
  <c r="M79" i="5"/>
  <c r="M80" i="5"/>
  <c r="M81" i="5"/>
  <c r="M82" i="5"/>
  <c r="M83" i="5"/>
  <c r="M84" i="5"/>
  <c r="M85" i="5"/>
  <c r="M86" i="5"/>
  <c r="M87" i="5"/>
  <c r="M88" i="5"/>
  <c r="M89" i="5"/>
  <c r="M90" i="5"/>
  <c r="M91" i="5"/>
  <c r="M92" i="5"/>
  <c r="M93" i="5"/>
  <c r="M94" i="5"/>
  <c r="M95" i="5"/>
  <c r="M96" i="5"/>
  <c r="M97" i="5"/>
  <c r="M98" i="5"/>
  <c r="M99" i="5"/>
  <c r="M100" i="5"/>
  <c r="M101" i="5"/>
  <c r="M102" i="5"/>
  <c r="M103" i="5"/>
  <c r="M104" i="5"/>
  <c r="M105" i="5"/>
  <c r="M106" i="5"/>
  <c r="M107" i="5"/>
  <c r="M108" i="5"/>
  <c r="M109" i="5"/>
  <c r="M110" i="5"/>
  <c r="M111" i="5"/>
  <c r="M112" i="5"/>
  <c r="M113" i="5"/>
  <c r="M114" i="5"/>
  <c r="M115" i="5"/>
  <c r="M116" i="5"/>
  <c r="M117" i="5"/>
  <c r="M118" i="5"/>
  <c r="M119" i="5"/>
  <c r="M120" i="5"/>
  <c r="M121" i="5"/>
  <c r="M122" i="5"/>
  <c r="M123" i="5"/>
  <c r="M124" i="5"/>
  <c r="M125" i="5"/>
  <c r="M126" i="5"/>
  <c r="M127" i="5"/>
  <c r="M128" i="5"/>
  <c r="M129" i="5"/>
  <c r="M130" i="5"/>
  <c r="M131" i="5"/>
  <c r="M132" i="5"/>
  <c r="M133" i="5"/>
  <c r="M134" i="5"/>
  <c r="M135" i="5"/>
  <c r="M136" i="5"/>
  <c r="M137" i="5"/>
  <c r="M138" i="5"/>
  <c r="M139" i="5"/>
  <c r="M140" i="5"/>
  <c r="M141" i="5"/>
  <c r="M142" i="5"/>
  <c r="M143" i="5"/>
  <c r="M144" i="5"/>
  <c r="M145" i="5"/>
  <c r="M146" i="5"/>
  <c r="M147" i="5"/>
  <c r="M148" i="5"/>
  <c r="M149" i="5"/>
  <c r="M150" i="5"/>
  <c r="M151" i="5"/>
  <c r="M152" i="5"/>
  <c r="M153" i="5"/>
  <c r="M154" i="5"/>
  <c r="M155" i="5"/>
  <c r="M156" i="5"/>
  <c r="M157" i="5"/>
  <c r="M158" i="5"/>
  <c r="M159" i="5"/>
  <c r="M160" i="5"/>
  <c r="M161" i="5"/>
  <c r="M162" i="5"/>
  <c r="M163" i="5"/>
  <c r="M164" i="5"/>
  <c r="M165" i="5"/>
  <c r="M166" i="5"/>
  <c r="M167" i="5"/>
  <c r="M168" i="5"/>
  <c r="M169" i="5"/>
  <c r="M170" i="5"/>
  <c r="M171" i="5"/>
  <c r="M172" i="5"/>
  <c r="M173" i="5"/>
  <c r="M174" i="5"/>
  <c r="M175" i="5"/>
  <c r="M176" i="5"/>
  <c r="M177" i="5"/>
  <c r="M178" i="5"/>
  <c r="M179" i="5"/>
  <c r="M3" i="5"/>
  <c r="L179" i="5"/>
  <c r="L178" i="5"/>
  <c r="L177" i="5"/>
  <c r="L176" i="5"/>
  <c r="L175" i="5"/>
  <c r="L174" i="5"/>
  <c r="L173" i="5"/>
  <c r="L172" i="5"/>
  <c r="L171" i="5"/>
  <c r="L170" i="5"/>
  <c r="L169" i="5"/>
  <c r="L168" i="5"/>
  <c r="L167" i="5"/>
  <c r="L166" i="5"/>
  <c r="L165" i="5"/>
  <c r="L164" i="5"/>
  <c r="L163" i="5"/>
  <c r="L162" i="5"/>
  <c r="L161" i="5"/>
  <c r="L160" i="5"/>
  <c r="L159" i="5"/>
  <c r="L158" i="5"/>
  <c r="L157" i="5"/>
  <c r="L156" i="5"/>
  <c r="L155" i="5"/>
  <c r="L154" i="5"/>
  <c r="L153" i="5"/>
  <c r="L152" i="5"/>
  <c r="L151" i="5"/>
  <c r="L150" i="5"/>
  <c r="L149" i="5"/>
  <c r="L148" i="5"/>
  <c r="L147" i="5"/>
  <c r="L146" i="5"/>
  <c r="L145" i="5"/>
  <c r="L144" i="5"/>
  <c r="L143" i="5"/>
  <c r="L142" i="5"/>
  <c r="L141" i="5"/>
  <c r="L140" i="5"/>
  <c r="L139" i="5"/>
  <c r="L138" i="5"/>
  <c r="L137" i="5"/>
  <c r="L136" i="5"/>
  <c r="L135" i="5"/>
  <c r="L134" i="5"/>
  <c r="L133" i="5"/>
  <c r="L132" i="5"/>
  <c r="L131" i="5"/>
  <c r="L130" i="5"/>
  <c r="L129" i="5"/>
  <c r="L128" i="5"/>
  <c r="L127" i="5"/>
  <c r="L126" i="5"/>
  <c r="L125" i="5"/>
  <c r="L124" i="5"/>
  <c r="L123" i="5"/>
  <c r="L122" i="5"/>
  <c r="L121" i="5"/>
  <c r="L120" i="5"/>
  <c r="L119" i="5"/>
  <c r="L118" i="5"/>
  <c r="L117" i="5"/>
  <c r="L116" i="5"/>
  <c r="L115" i="5"/>
  <c r="L114" i="5"/>
  <c r="L113" i="5"/>
  <c r="L112" i="5"/>
  <c r="L111" i="5"/>
  <c r="L110" i="5"/>
  <c r="L109" i="5"/>
  <c r="L108" i="5"/>
  <c r="L107" i="5"/>
  <c r="L106" i="5"/>
  <c r="L105" i="5"/>
  <c r="L104" i="5"/>
  <c r="L103" i="5"/>
  <c r="L102" i="5"/>
  <c r="L101" i="5"/>
  <c r="L100" i="5"/>
  <c r="L99" i="5"/>
  <c r="L98" i="5"/>
  <c r="L97" i="5"/>
  <c r="L96" i="5"/>
  <c r="L95" i="5"/>
  <c r="L94" i="5"/>
  <c r="L93" i="5"/>
  <c r="L92" i="5"/>
  <c r="L91" i="5"/>
  <c r="L90" i="5"/>
  <c r="L89" i="5"/>
  <c r="L88" i="5"/>
  <c r="L87" i="5"/>
  <c r="L86" i="5"/>
  <c r="L85" i="5"/>
  <c r="L84" i="5"/>
  <c r="L83" i="5"/>
  <c r="L82" i="5"/>
  <c r="L81" i="5"/>
  <c r="L80" i="5"/>
  <c r="L79" i="5"/>
  <c r="L78" i="5"/>
  <c r="L77" i="5"/>
  <c r="L76" i="5"/>
  <c r="L75" i="5"/>
  <c r="L74" i="5"/>
  <c r="L73" i="5"/>
  <c r="L72" i="5"/>
  <c r="L71" i="5"/>
  <c r="L70" i="5"/>
  <c r="L69" i="5"/>
  <c r="L68" i="5"/>
  <c r="L67" i="5"/>
  <c r="L66" i="5"/>
  <c r="L65" i="5"/>
  <c r="L64" i="5"/>
  <c r="L63" i="5"/>
  <c r="L62" i="5"/>
  <c r="L61" i="5"/>
  <c r="L60" i="5"/>
  <c r="L59" i="5"/>
  <c r="L58" i="5"/>
  <c r="L57" i="5"/>
  <c r="L56" i="5"/>
  <c r="L55" i="5"/>
  <c r="L54" i="5"/>
  <c r="L53" i="5"/>
  <c r="L52" i="5"/>
  <c r="L51" i="5"/>
  <c r="L50" i="5"/>
  <c r="L49" i="5"/>
  <c r="L48" i="5"/>
  <c r="L47" i="5"/>
  <c r="L46" i="5"/>
  <c r="L45" i="5"/>
  <c r="L44" i="5"/>
  <c r="L43" i="5"/>
  <c r="L42" i="5"/>
  <c r="L41" i="5"/>
  <c r="L40" i="5"/>
  <c r="L39" i="5"/>
  <c r="L38" i="5"/>
  <c r="L37" i="5"/>
  <c r="L36" i="5"/>
  <c r="L35" i="5"/>
  <c r="L34" i="5"/>
  <c r="L33" i="5"/>
  <c r="L32" i="5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L5" i="5"/>
  <c r="L4" i="5"/>
  <c r="L3" i="5"/>
  <c r="C25" i="8"/>
  <c r="C24" i="8"/>
  <c r="C23" i="8"/>
  <c r="C22" i="8"/>
  <c r="C21" i="8"/>
  <c r="C20" i="8"/>
  <c r="C19" i="8"/>
  <c r="C18" i="8"/>
  <c r="C29" i="9"/>
  <c r="C28" i="9"/>
  <c r="C27" i="9"/>
  <c r="C26" i="9"/>
  <c r="C25" i="9"/>
  <c r="C24" i="9"/>
  <c r="C23" i="9"/>
  <c r="C22" i="9"/>
  <c r="K16" i="9" l="1"/>
  <c r="K15" i="9"/>
  <c r="K14" i="9"/>
  <c r="K13" i="9"/>
  <c r="K12" i="9"/>
  <c r="K11" i="9"/>
  <c r="K10" i="9"/>
  <c r="K9" i="9"/>
  <c r="K8" i="9"/>
  <c r="K7" i="9"/>
  <c r="K6" i="9"/>
  <c r="K5" i="9"/>
  <c r="K4" i="9"/>
  <c r="I16" i="9"/>
  <c r="I15" i="9"/>
  <c r="I14" i="9"/>
  <c r="I13" i="9"/>
  <c r="I12" i="9"/>
  <c r="I11" i="9"/>
  <c r="I10" i="9"/>
  <c r="I9" i="9"/>
  <c r="I8" i="9"/>
  <c r="I7" i="9"/>
  <c r="I6" i="9"/>
  <c r="I5" i="9"/>
  <c r="I4" i="9"/>
  <c r="S16" i="9"/>
  <c r="S15" i="9"/>
  <c r="S14" i="9"/>
  <c r="S13" i="9"/>
  <c r="S12" i="9"/>
  <c r="S11" i="9"/>
  <c r="S10" i="9"/>
  <c r="S9" i="9"/>
  <c r="S8" i="9"/>
  <c r="S7" i="9"/>
  <c r="S6" i="9"/>
  <c r="S5" i="9"/>
  <c r="S4" i="9"/>
  <c r="Q16" i="9"/>
  <c r="Q15" i="9"/>
  <c r="Q14" i="9"/>
  <c r="Q13" i="9"/>
  <c r="Q12" i="9"/>
  <c r="Q11" i="9"/>
  <c r="Q10" i="9"/>
  <c r="Q9" i="9"/>
  <c r="Q8" i="9"/>
  <c r="Q7" i="9"/>
  <c r="Q6" i="9"/>
  <c r="Q5" i="9"/>
  <c r="Q4" i="9"/>
  <c r="O16" i="9"/>
  <c r="O15" i="9"/>
  <c r="O14" i="9"/>
  <c r="O13" i="9"/>
  <c r="O12" i="9"/>
  <c r="O11" i="9"/>
  <c r="O10" i="9"/>
  <c r="O9" i="9"/>
  <c r="O8" i="9"/>
  <c r="O7" i="9"/>
  <c r="O6" i="9"/>
  <c r="O5" i="9"/>
  <c r="O4" i="9"/>
  <c r="M16" i="9"/>
  <c r="M15" i="9"/>
  <c r="M14" i="9"/>
  <c r="M13" i="9"/>
  <c r="M12" i="9"/>
  <c r="M11" i="9"/>
  <c r="M10" i="9"/>
  <c r="M9" i="9"/>
  <c r="M8" i="9"/>
  <c r="M7" i="9"/>
  <c r="M6" i="9"/>
  <c r="M5" i="9"/>
  <c r="M4" i="9"/>
  <c r="G16" i="9"/>
  <c r="G15" i="9"/>
  <c r="G14" i="9"/>
  <c r="G13" i="9"/>
  <c r="G12" i="9"/>
  <c r="G11" i="9"/>
  <c r="G10" i="9"/>
  <c r="G9" i="9"/>
  <c r="G8" i="9"/>
  <c r="G7" i="9"/>
  <c r="G6" i="9"/>
  <c r="G5" i="9"/>
  <c r="G4" i="9"/>
  <c r="E16" i="9"/>
  <c r="E15" i="9"/>
  <c r="E14" i="9"/>
  <c r="E13" i="9"/>
  <c r="E12" i="9"/>
  <c r="E11" i="9"/>
  <c r="E10" i="9"/>
  <c r="E9" i="9"/>
  <c r="E8" i="9"/>
  <c r="E7" i="9"/>
  <c r="E6" i="9"/>
  <c r="E5" i="9"/>
  <c r="E4" i="9"/>
  <c r="S11" i="8"/>
  <c r="S10" i="8"/>
  <c r="S9" i="8"/>
  <c r="S8" i="8"/>
  <c r="S7" i="8"/>
  <c r="S6" i="8"/>
  <c r="S5" i="8"/>
  <c r="S4" i="8"/>
  <c r="Q11" i="8"/>
  <c r="Q10" i="8"/>
  <c r="Q9" i="8"/>
  <c r="Q8" i="8"/>
  <c r="Q7" i="8"/>
  <c r="Q6" i="8"/>
  <c r="Q5" i="8"/>
  <c r="Q4" i="8"/>
  <c r="Q12" i="8" s="1"/>
  <c r="Q14" i="8" s="1"/>
  <c r="H6" i="10" s="1"/>
  <c r="O11" i="8"/>
  <c r="O10" i="8"/>
  <c r="O9" i="8"/>
  <c r="O8" i="8"/>
  <c r="O7" i="8"/>
  <c r="O6" i="8"/>
  <c r="O5" i="8"/>
  <c r="O4" i="8"/>
  <c r="M11" i="8"/>
  <c r="M10" i="8"/>
  <c r="M9" i="8"/>
  <c r="M8" i="8"/>
  <c r="M7" i="8"/>
  <c r="M6" i="8"/>
  <c r="M5" i="8"/>
  <c r="M4" i="8"/>
  <c r="K11" i="8"/>
  <c r="K10" i="8"/>
  <c r="K9" i="8"/>
  <c r="K8" i="8"/>
  <c r="K7" i="8"/>
  <c r="K6" i="8"/>
  <c r="K5" i="8"/>
  <c r="K4" i="8"/>
  <c r="I11" i="8"/>
  <c r="I10" i="8"/>
  <c r="I9" i="8"/>
  <c r="I8" i="8"/>
  <c r="I7" i="8"/>
  <c r="I6" i="8"/>
  <c r="I5" i="8"/>
  <c r="I4" i="8"/>
  <c r="G11" i="8"/>
  <c r="G10" i="8"/>
  <c r="G9" i="8"/>
  <c r="G8" i="8"/>
  <c r="G7" i="8"/>
  <c r="G6" i="8"/>
  <c r="G5" i="8"/>
  <c r="G4" i="8"/>
  <c r="E11" i="8"/>
  <c r="E10" i="8"/>
  <c r="E9" i="8"/>
  <c r="E8" i="8"/>
  <c r="E7" i="8"/>
  <c r="E6" i="8"/>
  <c r="E5" i="8"/>
  <c r="E4" i="8"/>
  <c r="O12" i="8" l="1"/>
  <c r="O14" i="8" s="1"/>
  <c r="S12" i="8"/>
  <c r="S14" i="8" s="1"/>
  <c r="I6" i="10" s="1"/>
  <c r="M17" i="9"/>
  <c r="M19" i="9" s="1"/>
  <c r="G17" i="9"/>
  <c r="G19" i="9" s="1"/>
  <c r="C7" i="10" s="1"/>
  <c r="S17" i="9"/>
  <c r="S19" i="9" s="1"/>
  <c r="I7" i="10" s="1"/>
  <c r="K17" i="9"/>
  <c r="K19" i="9" s="1"/>
  <c r="E7" i="10" s="1"/>
  <c r="Q17" i="9"/>
  <c r="Q19" i="9" s="1"/>
  <c r="H7" i="10" s="1"/>
  <c r="O17" i="9"/>
  <c r="O19" i="9" s="1"/>
  <c r="I17" i="9"/>
  <c r="I19" i="9" s="1"/>
  <c r="D7" i="10" s="1"/>
  <c r="E17" i="9"/>
  <c r="E19" i="9" s="1"/>
  <c r="M12" i="8"/>
  <c r="M14" i="8" s="1"/>
  <c r="I12" i="8"/>
  <c r="I14" i="8" s="1"/>
  <c r="D6" i="10" s="1"/>
  <c r="K12" i="8"/>
  <c r="K14" i="8" s="1"/>
  <c r="E6" i="10" s="1"/>
  <c r="G12" i="8"/>
  <c r="G14" i="8" s="1"/>
  <c r="C6" i="10" s="1"/>
  <c r="E12" i="8"/>
  <c r="E14" i="8" s="1"/>
  <c r="F6" i="7"/>
  <c r="F8" i="7"/>
  <c r="F7" i="7"/>
  <c r="F5" i="7"/>
  <c r="F4" i="7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176" i="5"/>
  <c r="I177" i="5"/>
  <c r="I178" i="5"/>
  <c r="I179" i="5"/>
  <c r="I3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J22" i="5" s="1"/>
  <c r="H23" i="5"/>
  <c r="H24" i="5"/>
  <c r="H25" i="5"/>
  <c r="H26" i="5"/>
  <c r="J26" i="5" s="1"/>
  <c r="H27" i="5"/>
  <c r="H28" i="5"/>
  <c r="H29" i="5"/>
  <c r="H30" i="5"/>
  <c r="H31" i="5"/>
  <c r="H32" i="5"/>
  <c r="H33" i="5"/>
  <c r="H34" i="5"/>
  <c r="J34" i="5" s="1"/>
  <c r="H35" i="5"/>
  <c r="H36" i="5"/>
  <c r="H37" i="5"/>
  <c r="H38" i="5"/>
  <c r="J38" i="5" s="1"/>
  <c r="H39" i="5"/>
  <c r="H40" i="5"/>
  <c r="H41" i="5"/>
  <c r="H42" i="5"/>
  <c r="J42" i="5" s="1"/>
  <c r="H43" i="5"/>
  <c r="H44" i="5"/>
  <c r="J44" i="5" s="1"/>
  <c r="H45" i="5"/>
  <c r="H46" i="5"/>
  <c r="J46" i="5" s="1"/>
  <c r="H47" i="5"/>
  <c r="H48" i="5"/>
  <c r="H49" i="5"/>
  <c r="H50" i="5"/>
  <c r="J50" i="5" s="1"/>
  <c r="H51" i="5"/>
  <c r="H52" i="5"/>
  <c r="H53" i="5"/>
  <c r="H54" i="5"/>
  <c r="J54" i="5" s="1"/>
  <c r="H55" i="5"/>
  <c r="H56" i="5"/>
  <c r="H57" i="5"/>
  <c r="H58" i="5"/>
  <c r="H59" i="5"/>
  <c r="H60" i="5"/>
  <c r="H61" i="5"/>
  <c r="H62" i="5"/>
  <c r="J62" i="5" s="1"/>
  <c r="H63" i="5"/>
  <c r="H64" i="5"/>
  <c r="H65" i="5"/>
  <c r="H66" i="5"/>
  <c r="J66" i="5" s="1"/>
  <c r="H67" i="5"/>
  <c r="H68" i="5"/>
  <c r="H69" i="5"/>
  <c r="H70" i="5"/>
  <c r="H71" i="5"/>
  <c r="H72" i="5"/>
  <c r="H73" i="5"/>
  <c r="H74" i="5"/>
  <c r="J74" i="5" s="1"/>
  <c r="H75" i="5"/>
  <c r="H76" i="5"/>
  <c r="H77" i="5"/>
  <c r="H78" i="5"/>
  <c r="H79" i="5"/>
  <c r="H80" i="5"/>
  <c r="H81" i="5"/>
  <c r="H82" i="5"/>
  <c r="J82" i="5" s="1"/>
  <c r="H83" i="5"/>
  <c r="H84" i="5"/>
  <c r="H85" i="5"/>
  <c r="H86" i="5"/>
  <c r="J86" i="5" s="1"/>
  <c r="H87" i="5"/>
  <c r="H88" i="5"/>
  <c r="H89" i="5"/>
  <c r="H90" i="5"/>
  <c r="J90" i="5" s="1"/>
  <c r="H91" i="5"/>
  <c r="H92" i="5"/>
  <c r="J92" i="5" s="1"/>
  <c r="H93" i="5"/>
  <c r="H94" i="5"/>
  <c r="H95" i="5"/>
  <c r="H96" i="5"/>
  <c r="H97" i="5"/>
  <c r="H98" i="5"/>
  <c r="J98" i="5" s="1"/>
  <c r="H99" i="5"/>
  <c r="H100" i="5"/>
  <c r="H101" i="5"/>
  <c r="H102" i="5"/>
  <c r="J102" i="5" s="1"/>
  <c r="H103" i="5"/>
  <c r="H104" i="5"/>
  <c r="H105" i="5"/>
  <c r="H106" i="5"/>
  <c r="J106" i="5" s="1"/>
  <c r="H107" i="5"/>
  <c r="H108" i="5"/>
  <c r="H109" i="5"/>
  <c r="H110" i="5"/>
  <c r="J110" i="5" s="1"/>
  <c r="H111" i="5"/>
  <c r="H112" i="5"/>
  <c r="H113" i="5"/>
  <c r="H114" i="5"/>
  <c r="J114" i="5" s="1"/>
  <c r="H115" i="5"/>
  <c r="H116" i="5"/>
  <c r="H117" i="5"/>
  <c r="H118" i="5"/>
  <c r="J118" i="5" s="1"/>
  <c r="H119" i="5"/>
  <c r="H120" i="5"/>
  <c r="H121" i="5"/>
  <c r="H122" i="5"/>
  <c r="J122" i="5" s="1"/>
  <c r="H123" i="5"/>
  <c r="H124" i="5"/>
  <c r="H125" i="5"/>
  <c r="H126" i="5"/>
  <c r="J126" i="5" s="1"/>
  <c r="H127" i="5"/>
  <c r="H128" i="5"/>
  <c r="H129" i="5"/>
  <c r="H130" i="5"/>
  <c r="J130" i="5" s="1"/>
  <c r="H131" i="5"/>
  <c r="H132" i="5"/>
  <c r="H133" i="5"/>
  <c r="H134" i="5"/>
  <c r="H135" i="5"/>
  <c r="H136" i="5"/>
  <c r="H137" i="5"/>
  <c r="H138" i="5"/>
  <c r="J138" i="5" s="1"/>
  <c r="H139" i="5"/>
  <c r="H140" i="5"/>
  <c r="H141" i="5"/>
  <c r="H142" i="5"/>
  <c r="H143" i="5"/>
  <c r="H144" i="5"/>
  <c r="H145" i="5"/>
  <c r="H146" i="5"/>
  <c r="J146" i="5" s="1"/>
  <c r="H147" i="5"/>
  <c r="H148" i="5"/>
  <c r="H149" i="5"/>
  <c r="H150" i="5"/>
  <c r="H151" i="5"/>
  <c r="H152" i="5"/>
  <c r="H153" i="5"/>
  <c r="H154" i="5"/>
  <c r="J154" i="5" s="1"/>
  <c r="H155" i="5"/>
  <c r="H156" i="5"/>
  <c r="H157" i="5"/>
  <c r="H158" i="5"/>
  <c r="H159" i="5"/>
  <c r="H160" i="5"/>
  <c r="H161" i="5"/>
  <c r="H162" i="5"/>
  <c r="J162" i="5" s="1"/>
  <c r="H163" i="5"/>
  <c r="J163" i="5" s="1"/>
  <c r="H164" i="5"/>
  <c r="J164" i="5" s="1"/>
  <c r="H165" i="5"/>
  <c r="H166" i="5"/>
  <c r="H167" i="5"/>
  <c r="H168" i="5"/>
  <c r="H169" i="5"/>
  <c r="H170" i="5"/>
  <c r="J170" i="5" s="1"/>
  <c r="H171" i="5"/>
  <c r="J171" i="5" s="1"/>
  <c r="H172" i="5"/>
  <c r="H173" i="5"/>
  <c r="H174" i="5"/>
  <c r="H175" i="5"/>
  <c r="H176" i="5"/>
  <c r="J176" i="5" s="1"/>
  <c r="H177" i="5"/>
  <c r="H178" i="5"/>
  <c r="J178" i="5" s="1"/>
  <c r="H179" i="5"/>
  <c r="J179" i="5" s="1"/>
  <c r="H3" i="5"/>
  <c r="J58" i="5"/>
  <c r="S97" i="2"/>
  <c r="S96" i="2"/>
  <c r="S95" i="2"/>
  <c r="S94" i="2"/>
  <c r="S93" i="2"/>
  <c r="S92" i="2"/>
  <c r="S91" i="2"/>
  <c r="S90" i="2"/>
  <c r="S89" i="2"/>
  <c r="S88" i="2"/>
  <c r="S87" i="2"/>
  <c r="S86" i="2"/>
  <c r="S85" i="2"/>
  <c r="S84" i="2"/>
  <c r="S83" i="2"/>
  <c r="S82" i="2"/>
  <c r="S81" i="2"/>
  <c r="S80" i="2"/>
  <c r="S79" i="2"/>
  <c r="S78" i="2"/>
  <c r="S77" i="2"/>
  <c r="S76" i="2"/>
  <c r="S75" i="2"/>
  <c r="S74" i="2"/>
  <c r="S73" i="2"/>
  <c r="S72" i="2"/>
  <c r="S71" i="2"/>
  <c r="S70" i="2"/>
  <c r="S69" i="2"/>
  <c r="S68" i="2"/>
  <c r="S67" i="2"/>
  <c r="S66" i="2"/>
  <c r="S65" i="2"/>
  <c r="S64" i="2"/>
  <c r="S63" i="2"/>
  <c r="S62" i="2"/>
  <c r="S61" i="2"/>
  <c r="S60" i="2"/>
  <c r="S59" i="2"/>
  <c r="S58" i="2"/>
  <c r="S57" i="2"/>
  <c r="S56" i="2"/>
  <c r="S55" i="2"/>
  <c r="S54" i="2"/>
  <c r="S53" i="2"/>
  <c r="S52" i="2"/>
  <c r="S51" i="2"/>
  <c r="S50" i="2"/>
  <c r="S49" i="2"/>
  <c r="S48" i="2"/>
  <c r="S47" i="2"/>
  <c r="S46" i="2"/>
  <c r="S45" i="2"/>
  <c r="S44" i="2"/>
  <c r="S43" i="2"/>
  <c r="S42" i="2"/>
  <c r="S41" i="2"/>
  <c r="S40" i="2"/>
  <c r="S39" i="2"/>
  <c r="S38" i="2"/>
  <c r="S37" i="2"/>
  <c r="S36" i="2"/>
  <c r="S35" i="2"/>
  <c r="S34" i="2"/>
  <c r="S33" i="2"/>
  <c r="S32" i="2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J79" i="5" l="1"/>
  <c r="J31" i="5"/>
  <c r="J23" i="5"/>
  <c r="J15" i="5"/>
  <c r="J7" i="5"/>
  <c r="J18" i="5"/>
  <c r="J10" i="5"/>
  <c r="J168" i="5"/>
  <c r="J160" i="5"/>
  <c r="J144" i="5"/>
  <c r="J136" i="5"/>
  <c r="J128" i="5"/>
  <c r="J120" i="5"/>
  <c r="J112" i="5"/>
  <c r="J104" i="5"/>
  <c r="J96" i="5"/>
  <c r="J88" i="5"/>
  <c r="J80" i="5"/>
  <c r="J72" i="5"/>
  <c r="J64" i="5"/>
  <c r="J56" i="5"/>
  <c r="J48" i="5"/>
  <c r="J40" i="5"/>
  <c r="J32" i="5"/>
  <c r="J24" i="5"/>
  <c r="J16" i="5"/>
  <c r="J8" i="5"/>
  <c r="J55" i="5"/>
  <c r="J47" i="5"/>
  <c r="J39" i="5"/>
  <c r="J165" i="5"/>
  <c r="J117" i="5"/>
  <c r="J109" i="5"/>
  <c r="J101" i="5"/>
  <c r="J13" i="5"/>
  <c r="J93" i="5"/>
  <c r="J77" i="5"/>
  <c r="J53" i="5"/>
  <c r="J45" i="5"/>
  <c r="J37" i="5"/>
  <c r="J29" i="5"/>
  <c r="J175" i="5"/>
  <c r="J71" i="5"/>
  <c r="J63" i="5"/>
  <c r="J167" i="5"/>
  <c r="J159" i="5"/>
  <c r="J151" i="5"/>
  <c r="J143" i="5"/>
  <c r="J135" i="5"/>
  <c r="J127" i="5"/>
  <c r="J119" i="5"/>
  <c r="J111" i="5"/>
  <c r="J103" i="5"/>
  <c r="J95" i="5"/>
  <c r="J87" i="5"/>
  <c r="J6" i="10"/>
  <c r="B6" i="10"/>
  <c r="K6" i="10"/>
  <c r="F6" i="10"/>
  <c r="L6" i="10"/>
  <c r="G6" i="10"/>
  <c r="J7" i="10"/>
  <c r="B7" i="10"/>
  <c r="L7" i="10"/>
  <c r="G7" i="10"/>
  <c r="K7" i="10"/>
  <c r="F7" i="10"/>
  <c r="J17" i="5"/>
  <c r="Q9" i="7"/>
  <c r="I9" i="7"/>
  <c r="P9" i="7"/>
  <c r="H9" i="7"/>
  <c r="O9" i="7"/>
  <c r="G9" i="7"/>
  <c r="N9" i="7"/>
  <c r="M9" i="7"/>
  <c r="L9" i="7"/>
  <c r="K9" i="7"/>
  <c r="R9" i="7"/>
  <c r="J9" i="7"/>
  <c r="J36" i="5"/>
  <c r="J28" i="5"/>
  <c r="J20" i="5"/>
  <c r="J4" i="5"/>
  <c r="J108" i="5"/>
  <c r="J100" i="5"/>
  <c r="J84" i="5"/>
  <c r="J68" i="5"/>
  <c r="J156" i="5"/>
  <c r="J177" i="5"/>
  <c r="J169" i="5"/>
  <c r="J161" i="5"/>
  <c r="J153" i="5"/>
  <c r="J145" i="5"/>
  <c r="J137" i="5"/>
  <c r="J129" i="5"/>
  <c r="J121" i="5"/>
  <c r="J113" i="5"/>
  <c r="J105" i="5"/>
  <c r="J97" i="5"/>
  <c r="J89" i="5"/>
  <c r="J81" i="5"/>
  <c r="J73" i="5"/>
  <c r="J65" i="5"/>
  <c r="J57" i="5"/>
  <c r="J49" i="5"/>
  <c r="J41" i="5"/>
  <c r="J33" i="5"/>
  <c r="J25" i="5"/>
  <c r="J9" i="5"/>
  <c r="J155" i="5"/>
  <c r="J147" i="5"/>
  <c r="J139" i="5"/>
  <c r="J131" i="5"/>
  <c r="J123" i="5"/>
  <c r="J115" i="5"/>
  <c r="J107" i="5"/>
  <c r="J99" i="5"/>
  <c r="J91" i="5"/>
  <c r="J83" i="5"/>
  <c r="J75" i="5"/>
  <c r="J67" i="5"/>
  <c r="J59" i="5"/>
  <c r="J51" i="5"/>
  <c r="J43" i="5"/>
  <c r="J35" i="5"/>
  <c r="J27" i="5"/>
  <c r="J19" i="5"/>
  <c r="J11" i="5"/>
  <c r="J152" i="5"/>
  <c r="J150" i="5"/>
  <c r="J142" i="5"/>
  <c r="J134" i="5"/>
  <c r="J94" i="5"/>
  <c r="J78" i="5"/>
  <c r="J70" i="5"/>
  <c r="J30" i="5"/>
  <c r="J14" i="5"/>
  <c r="J6" i="5"/>
  <c r="J173" i="5"/>
  <c r="J157" i="5"/>
  <c r="J149" i="5"/>
  <c r="J141" i="5"/>
  <c r="J133" i="5"/>
  <c r="J125" i="5"/>
  <c r="J85" i="5"/>
  <c r="J69" i="5"/>
  <c r="J61" i="5"/>
  <c r="J21" i="5"/>
  <c r="J5" i="5"/>
  <c r="J172" i="5"/>
  <c r="J148" i="5"/>
  <c r="J140" i="5"/>
  <c r="J132" i="5"/>
  <c r="J124" i="5"/>
  <c r="J116" i="5"/>
  <c r="J76" i="5"/>
  <c r="J60" i="5"/>
  <c r="J52" i="5"/>
  <c r="J12" i="5"/>
  <c r="J174" i="5"/>
  <c r="J166" i="5"/>
  <c r="J158" i="5"/>
  <c r="J3" i="5"/>
  <c r="H5" i="10" l="1"/>
  <c r="H8" i="10" s="1"/>
  <c r="H9" i="10" s="1"/>
  <c r="H10" i="10" s="1"/>
  <c r="E13" i="7"/>
  <c r="J5" i="10"/>
  <c r="E21" i="7"/>
  <c r="E5" i="10"/>
  <c r="E8" i="10" s="1"/>
  <c r="E9" i="10" s="1"/>
  <c r="E10" i="10" s="1"/>
  <c r="E18" i="7"/>
  <c r="G5" i="10"/>
  <c r="G8" i="10" s="1"/>
  <c r="G10" i="10" s="1"/>
  <c r="E20" i="7"/>
  <c r="C5" i="10"/>
  <c r="C8" i="10" s="1"/>
  <c r="C9" i="10" s="1"/>
  <c r="C10" i="10" s="1"/>
  <c r="E16" i="7"/>
  <c r="I5" i="10"/>
  <c r="I8" i="10" s="1"/>
  <c r="I9" i="10" s="1"/>
  <c r="I10" i="10" s="1"/>
  <c r="E14" i="7"/>
  <c r="K5" i="10"/>
  <c r="K8" i="10" s="1"/>
  <c r="K9" i="10" s="1"/>
  <c r="K10" i="10" s="1"/>
  <c r="E22" i="7"/>
  <c r="D5" i="10"/>
  <c r="D8" i="10" s="1"/>
  <c r="D9" i="10" s="1"/>
  <c r="D10" i="10" s="1"/>
  <c r="E17" i="7"/>
  <c r="B5" i="10"/>
  <c r="B8" i="10" s="1"/>
  <c r="B9" i="10" s="1"/>
  <c r="B10" i="10" s="1"/>
  <c r="E15" i="7"/>
  <c r="L5" i="10"/>
  <c r="L8" i="10" s="1"/>
  <c r="L9" i="10" s="1"/>
  <c r="L10" i="10" s="1"/>
  <c r="E23" i="7"/>
  <c r="F5" i="10"/>
  <c r="F8" i="10" s="1"/>
  <c r="F9" i="10" s="1"/>
  <c r="F10" i="10" s="1"/>
  <c r="E19" i="7"/>
  <c r="J8" i="10"/>
  <c r="J9" i="10" s="1"/>
  <c r="J10" i="10" s="1"/>
  <c r="K168" i="5" l="1"/>
  <c r="N168" i="5" s="1"/>
  <c r="O168" i="5" s="1"/>
  <c r="P168" i="5" s="1"/>
  <c r="K167" i="5"/>
  <c r="N167" i="5" s="1"/>
  <c r="O167" i="5" s="1"/>
  <c r="P167" i="5" s="1"/>
  <c r="K147" i="5"/>
  <c r="N147" i="5" s="1"/>
  <c r="O147" i="5" s="1"/>
  <c r="P147" i="5" s="1"/>
  <c r="K139" i="5"/>
  <c r="N139" i="5" s="1"/>
  <c r="O139" i="5" s="1"/>
  <c r="P139" i="5" s="1"/>
  <c r="K131" i="5"/>
  <c r="N131" i="5" s="1"/>
  <c r="O131" i="5" s="1"/>
  <c r="P131" i="5" s="1"/>
  <c r="K123" i="5"/>
  <c r="N123" i="5" s="1"/>
  <c r="O123" i="5" s="1"/>
  <c r="P123" i="5" s="1"/>
  <c r="K115" i="5"/>
  <c r="N115" i="5" s="1"/>
  <c r="O115" i="5" s="1"/>
  <c r="P115" i="5" s="1"/>
  <c r="K107" i="5"/>
  <c r="N107" i="5" s="1"/>
  <c r="O107" i="5" s="1"/>
  <c r="P107" i="5" s="1"/>
  <c r="K146" i="5"/>
  <c r="N146" i="5" s="1"/>
  <c r="O146" i="5" s="1"/>
  <c r="P146" i="5" s="1"/>
  <c r="K138" i="5"/>
  <c r="N138" i="5" s="1"/>
  <c r="O138" i="5" s="1"/>
  <c r="P138" i="5" s="1"/>
  <c r="K130" i="5"/>
  <c r="N130" i="5" s="1"/>
  <c r="O130" i="5" s="1"/>
  <c r="P130" i="5" s="1"/>
  <c r="K122" i="5"/>
  <c r="N122" i="5" s="1"/>
  <c r="O122" i="5" s="1"/>
  <c r="P122" i="5" s="1"/>
  <c r="K114" i="5"/>
  <c r="N114" i="5" s="1"/>
  <c r="O114" i="5" s="1"/>
  <c r="P114" i="5" s="1"/>
  <c r="K106" i="5"/>
  <c r="N106" i="5" s="1"/>
  <c r="O106" i="5" s="1"/>
  <c r="P106" i="5" s="1"/>
  <c r="K145" i="5"/>
  <c r="N145" i="5" s="1"/>
  <c r="O145" i="5" s="1"/>
  <c r="P145" i="5" s="1"/>
  <c r="K137" i="5"/>
  <c r="N137" i="5" s="1"/>
  <c r="O137" i="5" s="1"/>
  <c r="P137" i="5" s="1"/>
  <c r="K129" i="5"/>
  <c r="N129" i="5" s="1"/>
  <c r="O129" i="5" s="1"/>
  <c r="P129" i="5" s="1"/>
  <c r="K121" i="5"/>
  <c r="N121" i="5" s="1"/>
  <c r="O121" i="5" s="1"/>
  <c r="P121" i="5" s="1"/>
  <c r="K113" i="5"/>
  <c r="N113" i="5" s="1"/>
  <c r="O113" i="5" s="1"/>
  <c r="P113" i="5" s="1"/>
  <c r="K105" i="5"/>
  <c r="N105" i="5" s="1"/>
  <c r="O105" i="5" s="1"/>
  <c r="P105" i="5" s="1"/>
  <c r="K144" i="5"/>
  <c r="N144" i="5" s="1"/>
  <c r="O144" i="5" s="1"/>
  <c r="P144" i="5" s="1"/>
  <c r="K136" i="5"/>
  <c r="N136" i="5" s="1"/>
  <c r="O136" i="5" s="1"/>
  <c r="P136" i="5" s="1"/>
  <c r="K128" i="5"/>
  <c r="N128" i="5" s="1"/>
  <c r="O128" i="5" s="1"/>
  <c r="P128" i="5" s="1"/>
  <c r="K112" i="5"/>
  <c r="N112" i="5" s="1"/>
  <c r="O112" i="5" s="1"/>
  <c r="P112" i="5" s="1"/>
  <c r="K120" i="5"/>
  <c r="N120" i="5" s="1"/>
  <c r="O120" i="5" s="1"/>
  <c r="P120" i="5" s="1"/>
  <c r="K143" i="5"/>
  <c r="N143" i="5" s="1"/>
  <c r="O143" i="5" s="1"/>
  <c r="P143" i="5" s="1"/>
  <c r="K135" i="5"/>
  <c r="N135" i="5" s="1"/>
  <c r="O135" i="5" s="1"/>
  <c r="P135" i="5" s="1"/>
  <c r="K127" i="5"/>
  <c r="N127" i="5" s="1"/>
  <c r="O127" i="5" s="1"/>
  <c r="P127" i="5" s="1"/>
  <c r="K119" i="5"/>
  <c r="N119" i="5" s="1"/>
  <c r="O119" i="5" s="1"/>
  <c r="P119" i="5" s="1"/>
  <c r="K111" i="5"/>
  <c r="N111" i="5" s="1"/>
  <c r="O111" i="5" s="1"/>
  <c r="P111" i="5" s="1"/>
  <c r="K150" i="5"/>
  <c r="N150" i="5" s="1"/>
  <c r="O150" i="5" s="1"/>
  <c r="P150" i="5" s="1"/>
  <c r="K142" i="5"/>
  <c r="N142" i="5" s="1"/>
  <c r="O142" i="5" s="1"/>
  <c r="P142" i="5" s="1"/>
  <c r="K134" i="5"/>
  <c r="N134" i="5" s="1"/>
  <c r="O134" i="5" s="1"/>
  <c r="P134" i="5" s="1"/>
  <c r="K126" i="5"/>
  <c r="N126" i="5" s="1"/>
  <c r="O126" i="5" s="1"/>
  <c r="P126" i="5" s="1"/>
  <c r="K118" i="5"/>
  <c r="N118" i="5" s="1"/>
  <c r="O118" i="5" s="1"/>
  <c r="P118" i="5" s="1"/>
  <c r="K110" i="5"/>
  <c r="N110" i="5" s="1"/>
  <c r="O110" i="5" s="1"/>
  <c r="P110" i="5" s="1"/>
  <c r="K149" i="5"/>
  <c r="N149" i="5" s="1"/>
  <c r="O149" i="5" s="1"/>
  <c r="P149" i="5" s="1"/>
  <c r="K141" i="5"/>
  <c r="N141" i="5" s="1"/>
  <c r="O141" i="5" s="1"/>
  <c r="P141" i="5" s="1"/>
  <c r="K133" i="5"/>
  <c r="N133" i="5" s="1"/>
  <c r="O133" i="5" s="1"/>
  <c r="P133" i="5" s="1"/>
  <c r="K125" i="5"/>
  <c r="N125" i="5" s="1"/>
  <c r="O125" i="5" s="1"/>
  <c r="P125" i="5" s="1"/>
  <c r="K117" i="5"/>
  <c r="N117" i="5" s="1"/>
  <c r="O117" i="5" s="1"/>
  <c r="P117" i="5" s="1"/>
  <c r="K109" i="5"/>
  <c r="N109" i="5" s="1"/>
  <c r="O109" i="5" s="1"/>
  <c r="P109" i="5" s="1"/>
  <c r="K148" i="5"/>
  <c r="N148" i="5" s="1"/>
  <c r="O148" i="5" s="1"/>
  <c r="P148" i="5" s="1"/>
  <c r="K140" i="5"/>
  <c r="N140" i="5" s="1"/>
  <c r="O140" i="5" s="1"/>
  <c r="P140" i="5" s="1"/>
  <c r="K132" i="5"/>
  <c r="N132" i="5" s="1"/>
  <c r="O132" i="5" s="1"/>
  <c r="P132" i="5" s="1"/>
  <c r="K124" i="5"/>
  <c r="N124" i="5" s="1"/>
  <c r="O124" i="5" s="1"/>
  <c r="P124" i="5" s="1"/>
  <c r="K116" i="5"/>
  <c r="N116" i="5" s="1"/>
  <c r="O116" i="5" s="1"/>
  <c r="P116" i="5" s="1"/>
  <c r="K108" i="5"/>
  <c r="N108" i="5" s="1"/>
  <c r="O108" i="5" s="1"/>
  <c r="P108" i="5" s="1"/>
  <c r="K27" i="5"/>
  <c r="N27" i="5" s="1"/>
  <c r="O27" i="5" s="1"/>
  <c r="P27" i="5" s="1"/>
  <c r="K19" i="5"/>
  <c r="N19" i="5" s="1"/>
  <c r="O19" i="5" s="1"/>
  <c r="P19" i="5" s="1"/>
  <c r="K11" i="5"/>
  <c r="N11" i="5" s="1"/>
  <c r="O11" i="5" s="1"/>
  <c r="P11" i="5" s="1"/>
  <c r="K3" i="5"/>
  <c r="N3" i="5" s="1"/>
  <c r="O3" i="5" s="1"/>
  <c r="K25" i="5"/>
  <c r="N25" i="5" s="1"/>
  <c r="O25" i="5" s="1"/>
  <c r="P25" i="5" s="1"/>
  <c r="K17" i="5"/>
  <c r="N17" i="5" s="1"/>
  <c r="O17" i="5" s="1"/>
  <c r="P17" i="5" s="1"/>
  <c r="K9" i="5"/>
  <c r="N9" i="5" s="1"/>
  <c r="O9" i="5" s="1"/>
  <c r="P9" i="5" s="1"/>
  <c r="K24" i="5"/>
  <c r="N24" i="5" s="1"/>
  <c r="O24" i="5" s="1"/>
  <c r="P24" i="5" s="1"/>
  <c r="K8" i="5"/>
  <c r="N8" i="5" s="1"/>
  <c r="O8" i="5" s="1"/>
  <c r="P8" i="5" s="1"/>
  <c r="K26" i="5"/>
  <c r="N26" i="5" s="1"/>
  <c r="O26" i="5" s="1"/>
  <c r="P26" i="5" s="1"/>
  <c r="K32" i="5"/>
  <c r="N32" i="5" s="1"/>
  <c r="O32" i="5" s="1"/>
  <c r="P32" i="5" s="1"/>
  <c r="K16" i="5"/>
  <c r="N16" i="5" s="1"/>
  <c r="O16" i="5" s="1"/>
  <c r="P16" i="5" s="1"/>
  <c r="K31" i="5"/>
  <c r="N31" i="5" s="1"/>
  <c r="O31" i="5" s="1"/>
  <c r="P31" i="5" s="1"/>
  <c r="K23" i="5"/>
  <c r="N23" i="5" s="1"/>
  <c r="O23" i="5" s="1"/>
  <c r="P23" i="5" s="1"/>
  <c r="K15" i="5"/>
  <c r="N15" i="5" s="1"/>
  <c r="O15" i="5" s="1"/>
  <c r="P15" i="5" s="1"/>
  <c r="K7" i="5"/>
  <c r="N7" i="5" s="1"/>
  <c r="O7" i="5" s="1"/>
  <c r="P7" i="5" s="1"/>
  <c r="K30" i="5"/>
  <c r="N30" i="5" s="1"/>
  <c r="O30" i="5" s="1"/>
  <c r="P30" i="5" s="1"/>
  <c r="K14" i="5"/>
  <c r="N14" i="5" s="1"/>
  <c r="O14" i="5" s="1"/>
  <c r="P14" i="5" s="1"/>
  <c r="K29" i="5"/>
  <c r="N29" i="5" s="1"/>
  <c r="O29" i="5" s="1"/>
  <c r="P29" i="5" s="1"/>
  <c r="K5" i="5"/>
  <c r="N5" i="5" s="1"/>
  <c r="O5" i="5" s="1"/>
  <c r="P5" i="5" s="1"/>
  <c r="K12" i="5"/>
  <c r="N12" i="5" s="1"/>
  <c r="O12" i="5" s="1"/>
  <c r="P12" i="5" s="1"/>
  <c r="K18" i="5"/>
  <c r="N18" i="5" s="1"/>
  <c r="O18" i="5" s="1"/>
  <c r="P18" i="5" s="1"/>
  <c r="K22" i="5"/>
  <c r="N22" i="5" s="1"/>
  <c r="O22" i="5" s="1"/>
  <c r="P22" i="5" s="1"/>
  <c r="K6" i="5"/>
  <c r="N6" i="5" s="1"/>
  <c r="O6" i="5" s="1"/>
  <c r="P6" i="5" s="1"/>
  <c r="K13" i="5"/>
  <c r="N13" i="5" s="1"/>
  <c r="O13" i="5" s="1"/>
  <c r="P13" i="5" s="1"/>
  <c r="K20" i="5"/>
  <c r="N20" i="5" s="1"/>
  <c r="O20" i="5" s="1"/>
  <c r="P20" i="5" s="1"/>
  <c r="K21" i="5"/>
  <c r="N21" i="5" s="1"/>
  <c r="O21" i="5" s="1"/>
  <c r="P21" i="5" s="1"/>
  <c r="K28" i="5"/>
  <c r="N28" i="5" s="1"/>
  <c r="O28" i="5" s="1"/>
  <c r="P28" i="5" s="1"/>
  <c r="K4" i="5"/>
  <c r="N4" i="5" s="1"/>
  <c r="O4" i="5" s="1"/>
  <c r="P4" i="5" s="1"/>
  <c r="K10" i="5"/>
  <c r="N10" i="5" s="1"/>
  <c r="O10" i="5" s="1"/>
  <c r="P10" i="5" s="1"/>
  <c r="K163" i="5"/>
  <c r="N163" i="5" s="1"/>
  <c r="K155" i="5"/>
  <c r="N155" i="5" s="1"/>
  <c r="K162" i="5"/>
  <c r="N162" i="5" s="1"/>
  <c r="K154" i="5"/>
  <c r="N154" i="5" s="1"/>
  <c r="K161" i="5"/>
  <c r="N161" i="5" s="1"/>
  <c r="K153" i="5"/>
  <c r="N153" i="5" s="1"/>
  <c r="K160" i="5"/>
  <c r="N160" i="5" s="1"/>
  <c r="K152" i="5"/>
  <c r="N152" i="5" s="1"/>
  <c r="K159" i="5"/>
  <c r="N159" i="5" s="1"/>
  <c r="K151" i="5"/>
  <c r="N151" i="5" s="1"/>
  <c r="K166" i="5"/>
  <c r="N166" i="5" s="1"/>
  <c r="K158" i="5"/>
  <c r="N158" i="5" s="1"/>
  <c r="K165" i="5"/>
  <c r="N165" i="5" s="1"/>
  <c r="K157" i="5"/>
  <c r="N157" i="5" s="1"/>
  <c r="K164" i="5"/>
  <c r="N164" i="5" s="1"/>
  <c r="K156" i="5"/>
  <c r="N156" i="5" s="1"/>
  <c r="K35" i="5"/>
  <c r="N35" i="5" s="1"/>
  <c r="O35" i="5" s="1"/>
  <c r="P35" i="5" s="1"/>
  <c r="K34" i="5"/>
  <c r="N34" i="5" s="1"/>
  <c r="O34" i="5" s="1"/>
  <c r="P34" i="5" s="1"/>
  <c r="K33" i="5"/>
  <c r="N33" i="5" s="1"/>
  <c r="O33" i="5" s="1"/>
  <c r="P33" i="5" s="1"/>
  <c r="K38" i="5"/>
  <c r="N38" i="5" s="1"/>
  <c r="O38" i="5" s="1"/>
  <c r="P38" i="5" s="1"/>
  <c r="K37" i="5"/>
  <c r="N37" i="5" s="1"/>
  <c r="O37" i="5" s="1"/>
  <c r="P37" i="5" s="1"/>
  <c r="K36" i="5"/>
  <c r="N36" i="5" s="1"/>
  <c r="O36" i="5" s="1"/>
  <c r="P36" i="5" s="1"/>
  <c r="K99" i="5"/>
  <c r="N99" i="5" s="1"/>
  <c r="O99" i="5" s="1"/>
  <c r="P99" i="5" s="1"/>
  <c r="K91" i="5"/>
  <c r="N91" i="5" s="1"/>
  <c r="O91" i="5" s="1"/>
  <c r="P91" i="5" s="1"/>
  <c r="K83" i="5"/>
  <c r="N83" i="5" s="1"/>
  <c r="O83" i="5" s="1"/>
  <c r="P83" i="5" s="1"/>
  <c r="K75" i="5"/>
  <c r="N75" i="5" s="1"/>
  <c r="O75" i="5" s="1"/>
  <c r="P75" i="5" s="1"/>
  <c r="K98" i="5"/>
  <c r="N98" i="5" s="1"/>
  <c r="O98" i="5" s="1"/>
  <c r="P98" i="5" s="1"/>
  <c r="K90" i="5"/>
  <c r="N90" i="5" s="1"/>
  <c r="O90" i="5" s="1"/>
  <c r="P90" i="5" s="1"/>
  <c r="K82" i="5"/>
  <c r="N82" i="5" s="1"/>
  <c r="O82" i="5" s="1"/>
  <c r="P82" i="5" s="1"/>
  <c r="K74" i="5"/>
  <c r="N74" i="5" s="1"/>
  <c r="O74" i="5" s="1"/>
  <c r="P74" i="5" s="1"/>
  <c r="K97" i="5"/>
  <c r="N97" i="5" s="1"/>
  <c r="O97" i="5" s="1"/>
  <c r="P97" i="5" s="1"/>
  <c r="K89" i="5"/>
  <c r="N89" i="5" s="1"/>
  <c r="O89" i="5" s="1"/>
  <c r="P89" i="5" s="1"/>
  <c r="K81" i="5"/>
  <c r="N81" i="5" s="1"/>
  <c r="O81" i="5" s="1"/>
  <c r="P81" i="5" s="1"/>
  <c r="K104" i="5"/>
  <c r="N104" i="5" s="1"/>
  <c r="O104" i="5" s="1"/>
  <c r="P104" i="5" s="1"/>
  <c r="K88" i="5"/>
  <c r="N88" i="5" s="1"/>
  <c r="O88" i="5" s="1"/>
  <c r="P88" i="5" s="1"/>
  <c r="K96" i="5"/>
  <c r="N96" i="5" s="1"/>
  <c r="O96" i="5" s="1"/>
  <c r="P96" i="5" s="1"/>
  <c r="K80" i="5"/>
  <c r="N80" i="5" s="1"/>
  <c r="O80" i="5" s="1"/>
  <c r="P80" i="5" s="1"/>
  <c r="K103" i="5"/>
  <c r="N103" i="5" s="1"/>
  <c r="O103" i="5" s="1"/>
  <c r="P103" i="5" s="1"/>
  <c r="K95" i="5"/>
  <c r="N95" i="5" s="1"/>
  <c r="O95" i="5" s="1"/>
  <c r="P95" i="5" s="1"/>
  <c r="K87" i="5"/>
  <c r="N87" i="5" s="1"/>
  <c r="O87" i="5" s="1"/>
  <c r="P87" i="5" s="1"/>
  <c r="K79" i="5"/>
  <c r="N79" i="5" s="1"/>
  <c r="O79" i="5" s="1"/>
  <c r="P79" i="5" s="1"/>
  <c r="K101" i="5"/>
  <c r="N101" i="5" s="1"/>
  <c r="O101" i="5" s="1"/>
  <c r="P101" i="5" s="1"/>
  <c r="K76" i="5"/>
  <c r="N76" i="5" s="1"/>
  <c r="O76" i="5" s="1"/>
  <c r="P76" i="5" s="1"/>
  <c r="K102" i="5"/>
  <c r="N102" i="5" s="1"/>
  <c r="O102" i="5" s="1"/>
  <c r="P102" i="5" s="1"/>
  <c r="K94" i="5"/>
  <c r="N94" i="5" s="1"/>
  <c r="O94" i="5" s="1"/>
  <c r="P94" i="5" s="1"/>
  <c r="K86" i="5"/>
  <c r="N86" i="5" s="1"/>
  <c r="O86" i="5" s="1"/>
  <c r="P86" i="5" s="1"/>
  <c r="K78" i="5"/>
  <c r="N78" i="5" s="1"/>
  <c r="O78" i="5" s="1"/>
  <c r="P78" i="5" s="1"/>
  <c r="K85" i="5"/>
  <c r="N85" i="5" s="1"/>
  <c r="O85" i="5" s="1"/>
  <c r="P85" i="5" s="1"/>
  <c r="K100" i="5"/>
  <c r="N100" i="5" s="1"/>
  <c r="O100" i="5" s="1"/>
  <c r="P100" i="5" s="1"/>
  <c r="K93" i="5"/>
  <c r="N93" i="5" s="1"/>
  <c r="O93" i="5" s="1"/>
  <c r="P93" i="5" s="1"/>
  <c r="K77" i="5"/>
  <c r="N77" i="5" s="1"/>
  <c r="O77" i="5" s="1"/>
  <c r="P77" i="5" s="1"/>
  <c r="K92" i="5"/>
  <c r="N92" i="5" s="1"/>
  <c r="O92" i="5" s="1"/>
  <c r="P92" i="5" s="1"/>
  <c r="K84" i="5"/>
  <c r="N84" i="5" s="1"/>
  <c r="O84" i="5" s="1"/>
  <c r="P84" i="5" s="1"/>
  <c r="K51" i="5"/>
  <c r="N51" i="5" s="1"/>
  <c r="O51" i="5" s="1"/>
  <c r="P51" i="5" s="1"/>
  <c r="K43" i="5"/>
  <c r="N43" i="5" s="1"/>
  <c r="O43" i="5" s="1"/>
  <c r="P43" i="5" s="1"/>
  <c r="K49" i="5"/>
  <c r="N49" i="5" s="1"/>
  <c r="O49" i="5" s="1"/>
  <c r="P49" i="5" s="1"/>
  <c r="K41" i="5"/>
  <c r="N41" i="5" s="1"/>
  <c r="O41" i="5" s="1"/>
  <c r="P41" i="5" s="1"/>
  <c r="K48" i="5"/>
  <c r="N48" i="5" s="1"/>
  <c r="O48" i="5" s="1"/>
  <c r="P48" i="5" s="1"/>
  <c r="K47" i="5"/>
  <c r="N47" i="5" s="1"/>
  <c r="O47" i="5" s="1"/>
  <c r="P47" i="5" s="1"/>
  <c r="K46" i="5"/>
  <c r="N46" i="5" s="1"/>
  <c r="O46" i="5" s="1"/>
  <c r="P46" i="5" s="1"/>
  <c r="K44" i="5"/>
  <c r="N44" i="5" s="1"/>
  <c r="O44" i="5" s="1"/>
  <c r="P44" i="5" s="1"/>
  <c r="K52" i="5"/>
  <c r="N52" i="5" s="1"/>
  <c r="O52" i="5" s="1"/>
  <c r="P52" i="5" s="1"/>
  <c r="K42" i="5"/>
  <c r="N42" i="5" s="1"/>
  <c r="O42" i="5" s="1"/>
  <c r="P42" i="5" s="1"/>
  <c r="K45" i="5"/>
  <c r="N45" i="5" s="1"/>
  <c r="O45" i="5" s="1"/>
  <c r="P45" i="5" s="1"/>
  <c r="K50" i="5"/>
  <c r="N50" i="5" s="1"/>
  <c r="O50" i="5" s="1"/>
  <c r="P50" i="5" s="1"/>
  <c r="K179" i="5"/>
  <c r="N179" i="5" s="1"/>
  <c r="O179" i="5" s="1"/>
  <c r="P179" i="5" s="1"/>
  <c r="K178" i="5"/>
  <c r="N178" i="5" s="1"/>
  <c r="O178" i="5" s="1"/>
  <c r="P178" i="5" s="1"/>
  <c r="K177" i="5"/>
  <c r="N177" i="5" s="1"/>
  <c r="O177" i="5" s="1"/>
  <c r="P177" i="5" s="1"/>
  <c r="K176" i="5"/>
  <c r="N176" i="5" s="1"/>
  <c r="O176" i="5" s="1"/>
  <c r="P176" i="5" s="1"/>
  <c r="K175" i="5"/>
  <c r="N175" i="5" s="1"/>
  <c r="O175" i="5" s="1"/>
  <c r="P175" i="5" s="1"/>
  <c r="K67" i="5"/>
  <c r="N67" i="5" s="1"/>
  <c r="O67" i="5" s="1"/>
  <c r="P67" i="5" s="1"/>
  <c r="K59" i="5"/>
  <c r="N59" i="5" s="1"/>
  <c r="O59" i="5" s="1"/>
  <c r="P59" i="5" s="1"/>
  <c r="K66" i="5"/>
  <c r="N66" i="5" s="1"/>
  <c r="O66" i="5" s="1"/>
  <c r="P66" i="5" s="1"/>
  <c r="K73" i="5"/>
  <c r="N73" i="5" s="1"/>
  <c r="O73" i="5" s="1"/>
  <c r="P73" i="5" s="1"/>
  <c r="K65" i="5"/>
  <c r="N65" i="5" s="1"/>
  <c r="O65" i="5" s="1"/>
  <c r="P65" i="5" s="1"/>
  <c r="K57" i="5"/>
  <c r="N57" i="5" s="1"/>
  <c r="O57" i="5" s="1"/>
  <c r="P57" i="5" s="1"/>
  <c r="K72" i="5"/>
  <c r="N72" i="5" s="1"/>
  <c r="O72" i="5" s="1"/>
  <c r="P72" i="5" s="1"/>
  <c r="K56" i="5"/>
  <c r="N56" i="5" s="1"/>
  <c r="O56" i="5" s="1"/>
  <c r="P56" i="5" s="1"/>
  <c r="K64" i="5"/>
  <c r="N64" i="5" s="1"/>
  <c r="O64" i="5" s="1"/>
  <c r="P64" i="5" s="1"/>
  <c r="K58" i="5"/>
  <c r="N58" i="5" s="1"/>
  <c r="O58" i="5" s="1"/>
  <c r="P58" i="5" s="1"/>
  <c r="E24" i="7"/>
  <c r="K71" i="5"/>
  <c r="N71" i="5" s="1"/>
  <c r="O71" i="5" s="1"/>
  <c r="P71" i="5" s="1"/>
  <c r="K63" i="5"/>
  <c r="N63" i="5" s="1"/>
  <c r="O63" i="5" s="1"/>
  <c r="P63" i="5" s="1"/>
  <c r="K55" i="5"/>
  <c r="N55" i="5" s="1"/>
  <c r="O55" i="5" s="1"/>
  <c r="P55" i="5" s="1"/>
  <c r="K62" i="5"/>
  <c r="N62" i="5" s="1"/>
  <c r="O62" i="5" s="1"/>
  <c r="P62" i="5" s="1"/>
  <c r="K69" i="5"/>
  <c r="N69" i="5" s="1"/>
  <c r="O69" i="5" s="1"/>
  <c r="P69" i="5" s="1"/>
  <c r="K53" i="5"/>
  <c r="N53" i="5" s="1"/>
  <c r="O53" i="5" s="1"/>
  <c r="P53" i="5" s="1"/>
  <c r="K70" i="5"/>
  <c r="N70" i="5" s="1"/>
  <c r="O70" i="5" s="1"/>
  <c r="P70" i="5" s="1"/>
  <c r="K54" i="5"/>
  <c r="N54" i="5" s="1"/>
  <c r="O54" i="5" s="1"/>
  <c r="P54" i="5" s="1"/>
  <c r="K61" i="5"/>
  <c r="N61" i="5" s="1"/>
  <c r="O61" i="5" s="1"/>
  <c r="P61" i="5" s="1"/>
  <c r="K60" i="5"/>
  <c r="N60" i="5" s="1"/>
  <c r="O60" i="5" s="1"/>
  <c r="P60" i="5" s="1"/>
  <c r="K68" i="5"/>
  <c r="N68" i="5" s="1"/>
  <c r="O68" i="5" s="1"/>
  <c r="P68" i="5" s="1"/>
  <c r="K171" i="5"/>
  <c r="N171" i="5" s="1"/>
  <c r="O171" i="5" s="1"/>
  <c r="P171" i="5" s="1"/>
  <c r="K170" i="5"/>
  <c r="N170" i="5" s="1"/>
  <c r="O170" i="5" s="1"/>
  <c r="P170" i="5" s="1"/>
  <c r="K169" i="5"/>
  <c r="N169" i="5" s="1"/>
  <c r="O169" i="5" s="1"/>
  <c r="P169" i="5" s="1"/>
  <c r="K174" i="5"/>
  <c r="N174" i="5" s="1"/>
  <c r="O174" i="5" s="1"/>
  <c r="P174" i="5" s="1"/>
  <c r="K173" i="5"/>
  <c r="N173" i="5" s="1"/>
  <c r="O173" i="5" s="1"/>
  <c r="P173" i="5" s="1"/>
  <c r="K172" i="5"/>
  <c r="N172" i="5" s="1"/>
  <c r="O172" i="5" s="1"/>
  <c r="P172" i="5" s="1"/>
  <c r="K40" i="5"/>
  <c r="N40" i="5" s="1"/>
  <c r="O40" i="5" s="1"/>
  <c r="P40" i="5" s="1"/>
  <c r="K39" i="5"/>
  <c r="N39" i="5" s="1"/>
  <c r="O39" i="5" s="1"/>
  <c r="P39" i="5" s="1"/>
  <c r="P3" i="5" l="1"/>
  <c r="P1" i="5" s="1"/>
  <c r="O1" i="5"/>
  <c r="O151" i="5"/>
  <c r="P151" i="5" s="1"/>
  <c r="O159" i="5"/>
  <c r="P159" i="5" s="1"/>
  <c r="O163" i="5"/>
  <c r="P163" i="5" s="1"/>
  <c r="O156" i="5"/>
  <c r="P156" i="5" s="1"/>
  <c r="O152" i="5"/>
  <c r="P152" i="5" s="1"/>
  <c r="O164" i="5"/>
  <c r="P164" i="5" s="1"/>
  <c r="O160" i="5"/>
  <c r="P160" i="5" s="1"/>
  <c r="O155" i="5"/>
  <c r="P155" i="5" s="1"/>
  <c r="O157" i="5"/>
  <c r="P157" i="5" s="1"/>
  <c r="O153" i="5"/>
  <c r="P153" i="5" s="1"/>
  <c r="O165" i="5"/>
  <c r="P165" i="5" s="1"/>
  <c r="O161" i="5"/>
  <c r="P161" i="5" s="1"/>
  <c r="O158" i="5"/>
  <c r="P158" i="5" s="1"/>
  <c r="O154" i="5"/>
  <c r="P154" i="5" s="1"/>
  <c r="O166" i="5"/>
  <c r="P166" i="5" s="1"/>
  <c r="O162" i="5"/>
  <c r="P162" i="5" s="1"/>
</calcChain>
</file>

<file path=xl/comments1.xml><?xml version="1.0" encoding="utf-8"?>
<comments xmlns="http://schemas.openxmlformats.org/spreadsheetml/2006/main">
  <authors>
    <author>tc={8C384827-B942-4288-9ABA-CF908C2F6B5A}</author>
    <author>tc={F154DA7F-256D-4296-AE0C-AFB00B264668}</author>
  </authors>
  <commentList>
    <comment ref="B12" authorId="0" shapeId="0">
      <text>
        <r>
          <rPr>
            <sz val="10"/>
            <color theme="1"/>
            <rFont val="Calibri"/>
            <family val="2"/>
            <charset val="238"/>
            <scheme val="minor"/>
          </rPr>
  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Štandardná sadzba pre Produktivity Factor je na úrovni 15 - 30 hodín per UC. 
Vzhľadom na budovanie nového systému predpokladáme hodnotu na úrovni 25 hodín per Use Case, čo je hodnota o 11% vyššia ako je priemer spodnej a vrchnej hodnoty. 
Jedná sa o konzervatívny odhad prácnosti.</t>
        </r>
      </text>
    </comment>
    <comment ref="B13" authorId="1" shapeId="0">
      <text>
        <r>
          <rPr>
            <sz val="10"/>
            <color theme="1"/>
            <rFont val="Calibri"/>
            <family val="2"/>
            <charset val="238"/>
            <scheme val="minor"/>
          </rPr>
  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Tento PF je pre systém účtovnej evidencie, ktorý vytvorí len nové funkcionality a nastavenie existujúce systému a preto sa nebudú budovať kompletné UC pre účtovnú ševidenciu ale len customizovať existujúce. 
Preto je definovaný PF na spodnej hranici a to 15 hodín per UC</t>
        </r>
      </text>
    </comment>
  </commentList>
</comments>
</file>

<file path=xl/comments2.xml><?xml version="1.0" encoding="utf-8"?>
<comments xmlns="http://schemas.openxmlformats.org/spreadsheetml/2006/main">
  <authors>
    <author>tc={EFC553DA-554E-4F3C-876A-75A73EA44A5F}</author>
    <author>tc={0C8D35B2-396F-4359-9564-1F524394124A}</author>
    <author>tc={ABA479AA-AB96-49CC-9B88-B7B87982D3B4}</author>
  </authors>
  <commentList>
    <comment ref="B5" authorId="0" shapeId="0">
      <text>
        <r>
          <rPr>
            <sz val="10"/>
            <color theme="1"/>
            <rFont val="Calibri"/>
            <family val="2"/>
            <charset val="238"/>
            <scheme val="minor"/>
          </rPr>
  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Jedná sa o 1 prevadzkovatelov vozidiel podla typu platieb:
 - prepaid
 - post paid</t>
        </r>
      </text>
    </comment>
    <comment ref="B7" authorId="1" shapeId="0">
      <text>
        <r>
          <rPr>
            <sz val="10"/>
            <color theme="1"/>
            <rFont val="Calibri"/>
            <family val="2"/>
            <charset val="238"/>
            <scheme val="minor"/>
          </rPr>
  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Počet užívateľov vychádza z počtu rolí definovaných v navhovanej organizačnej štruktúre, pricom jednotlive moduly budu prisposobene danym poziciam. Ide o nasledovne pozicie:
 - výkonu agendy Evidencie a vyrubenia mýta
    - 2 x špecialista
    - 2 x referent
 -  zabezpečenie technickej obsluhy technológií   -Evidencie a vyrubenia mýta:
     - 1 x špecialita 
 - Kontrola a projektový management, 
    - 1 x špecialista
    - 1 x referent
 - zabezpečenie  výkonu agendy Správy kontextových dát 
    - 1x špecialista
    - 1 x odborný referent
 -  zabezpečenie technickej obsluhy technológií Správy kontextových dát
     - 1 x špecialista 
 - zabezepčenie výkonu agendy Podporných činností
     - 1 x špecialista
     - 1 x odborný referent
     - 1 x vedúci oddelenia
     - 1 x vedúci odboru
-  zabezpečenie technickej obsluhy technológií pre výkon Podporných činností
     - 1 x špecialista</t>
        </r>
      </text>
    </comment>
    <comment ref="B8" authorId="2" shapeId="0">
      <text>
        <r>
          <rPr>
            <sz val="10"/>
            <color theme="1"/>
            <rFont val="Calibri"/>
            <family val="2"/>
            <charset val="238"/>
            <scheme val="minor"/>
          </rPr>
  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Jedná sa o počet integrácií na iné ISVS, pričom v projekte sa predpokladajú nasledovné integrácie:
 - účtovníctvo
 - banka NDS
 - registratúra
 - externí odmeratelia dát
 - verejný web NDS
 - data.gov.sk</t>
        </r>
      </text>
    </comment>
  </commentList>
</comments>
</file>

<file path=xl/comments3.xml><?xml version="1.0" encoding="utf-8"?>
<comments xmlns="http://schemas.openxmlformats.org/spreadsheetml/2006/main">
  <authors>
    <author>tc={5985AEB0-F53A-4990-B399-8D245D7E77A3}</author>
    <author>tc={8AD318F8-AE58-4FC7-9641-80AE34EC3E27}</author>
  </authors>
  <commentList>
    <comment ref="S3" authorId="0" shapeId="0">
      <text>
        <r>
          <rPr>
            <sz val="10"/>
            <color theme="1"/>
            <rFont val="Calibri"/>
            <family val="2"/>
            <charset val="238"/>
            <scheme val="minor"/>
          </rPr>
  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PF pre všetky moduly okrem Uctovnej evidencie</t>
        </r>
      </text>
    </comment>
    <comment ref="S4" authorId="1" shapeId="0">
      <text>
        <r>
          <rPr>
            <sz val="10"/>
            <color theme="1"/>
            <rFont val="Calibri"/>
            <family val="2"/>
            <charset val="238"/>
            <scheme val="minor"/>
          </rPr>
  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PF pre uctovny modul - prisposobenenie existujuceho riesenia</t>
        </r>
      </text>
    </comment>
  </commentList>
</comments>
</file>

<file path=xl/sharedStrings.xml><?xml version="1.0" encoding="utf-8"?>
<sst xmlns="http://schemas.openxmlformats.org/spreadsheetml/2006/main" count="2073" uniqueCount="304">
  <si>
    <t>Správa kontextových dát</t>
  </si>
  <si>
    <t>Podporné činnosti</t>
  </si>
  <si>
    <t>Zákaznícke služby</t>
  </si>
  <si>
    <t>Uzatvorenie Zmluvy o užívaní VÚC v režime predplateného mýta</t>
  </si>
  <si>
    <t>Registrácia vozidla v režime predplateného mýta</t>
  </si>
  <si>
    <t>Úhrada predplateného mýta</t>
  </si>
  <si>
    <t>Úhrada nedoplatku mýta</t>
  </si>
  <si>
    <t>Ukončenie registrácie vozidla v režime predplateného mýta</t>
  </si>
  <si>
    <t>Ukončenie Zmluvy o užívaní vymedzených úsekov ciest v režime predplateného mýta</t>
  </si>
  <si>
    <t>Výber depozitu za OBU</t>
  </si>
  <si>
    <t>Vrátenie neprejazdeného predplateného mýta vodičovi/prevádzkovateľovi vozidla</t>
  </si>
  <si>
    <t>Vrátenie depozitu za OBU</t>
  </si>
  <si>
    <t>Vrátenie depozitu za OBU / uplatnenie náhrady škody vzniknutej na OBU z depozitu</t>
  </si>
  <si>
    <t>Vedenie evidencie o úhradách mýta v režime predplateného mýta (mýtny účet vozidla)</t>
  </si>
  <si>
    <t>Poskytovanie všeobecných informácií o výbere mýta</t>
  </si>
  <si>
    <t>Zmena registračných údajov vozidla v režime predplateného mýta</t>
  </si>
  <si>
    <t>Zmena údajov Zmluvy o užívaní VÚC v režime následného platenia mýta</t>
  </si>
  <si>
    <t>Zmena údajov Zmluvy o užívaní VÚC v režime predplateného mýta</t>
  </si>
  <si>
    <t>Kto vykonáva</t>
  </si>
  <si>
    <t>TSP</t>
  </si>
  <si>
    <t>Nástroje</t>
  </si>
  <si>
    <t>Odvod spotrebovaného mýta na účet NDS</t>
  </si>
  <si>
    <t>Vyhodnotenie nízkeho kreditného zostatku OBU a varovanie vodiča</t>
  </si>
  <si>
    <t xml:space="preserve">Vysporiadanie mýtneho dlhu na mýtnom účtu vozidla úhradou nedoplatku mýta </t>
  </si>
  <si>
    <t xml:space="preserve">Vysporiadanie mýtneho dlhu na mýtnom účtu vozidla z iného mýtneho účtu toho istého prevádzkovateľa </t>
  </si>
  <si>
    <t>Vystavenie daňových dokladov pre prevádzkovatela vozidla</t>
  </si>
  <si>
    <t>Vedenie účtovnej evidencie o predplatenom a spotrebovanom mýte vr. DPH</t>
  </si>
  <si>
    <t>Vysporiadanie preplatkov mýta (vratky mýta na základe reklamácie)</t>
  </si>
  <si>
    <t>Poskytnutie výpisu mýtnych transakcií na žiadosť prevádzkovateľa vozidla</t>
  </si>
  <si>
    <t>Zablokovanie OBU (black-listácia) na žiadosť prevádzkovateľa vozidla</t>
  </si>
  <si>
    <t>Zablokovanie OBU (black-listácia) na povel TC</t>
  </si>
  <si>
    <t>Zablokovanie OBU (black-listácia) na základe neuhradeného mýtneho dlhu</t>
  </si>
  <si>
    <t>Registrácia vozidla v režime následného platenia mýta</t>
  </si>
  <si>
    <t>Uzatvorenie Zmluvy o užívaní VÚC v režime následného platenia mýta</t>
  </si>
  <si>
    <t>TC</t>
  </si>
  <si>
    <t>Vedenie evidencie o prijatých depozitoch za poskytnutú OBU</t>
  </si>
  <si>
    <t>Poskytnutie OBU vodičovi/prevádzkovateľovi vozidla vr. personalizácie</t>
  </si>
  <si>
    <t>Spätný odber OBU od vodiča/prevádzkovateľa vozidla vr. depersonalizácie</t>
  </si>
  <si>
    <t>Poskytnutie OBU prevádzkovateľovi vozidla</t>
  </si>
  <si>
    <t>Vytvorenie požiadavky na zábezpeku za mýto</t>
  </si>
  <si>
    <t>Prijatie, vstupná kontrola a schválenie zábezpeky za mýto</t>
  </si>
  <si>
    <t>Vedenie spisovej agendy</t>
  </si>
  <si>
    <t>Príjem, párovanie a kontrola prijatých platieb</t>
  </si>
  <si>
    <t>Zmena registračných údajov vozidla v režime následného platenia mýta</t>
  </si>
  <si>
    <t>Ukončenie registrácie vozidla v režime následného platenia mýta</t>
  </si>
  <si>
    <t>Spätný odber OBU od prevádzkovateľa vozidla</t>
  </si>
  <si>
    <t>Ukončenie Zmluvy o užívaní vymedzených úsekov ciest v režime následného platenia mýta</t>
  </si>
  <si>
    <t>Prijatie oznámenia a vyriešenie problému s OBU</t>
  </si>
  <si>
    <t>Prijatie oznámenia a riešenie problému s úhradou predplateného mýta</t>
  </si>
  <si>
    <t>Prijatie a riešenie iného podania</t>
  </si>
  <si>
    <t>Periodická fakturácia prejazdeného mýta a iných služieb, vystavenie daňových dokladov</t>
  </si>
  <si>
    <t>Poskytnutie výpisu mýtnych transakcií</t>
  </si>
  <si>
    <t>Upomienanie úhrady faktúr</t>
  </si>
  <si>
    <t>Vysporiadanie pohľadávky zo zábezpeky za mýto</t>
  </si>
  <si>
    <t>Sledovanie vypršania platnosti zábezpeky a riešenie jej obnovy</t>
  </si>
  <si>
    <t>Sledovanie dostatočnosti zábezpeky a riešenie jej zníženia / navýšenia</t>
  </si>
  <si>
    <t>Zmena parametrov zábezpeky</t>
  </si>
  <si>
    <t>Spracovanie polohových dát vozidla a generovanie mýtnych transakcií</t>
  </si>
  <si>
    <t>Kontrola vzniku/straty nároku na zľavu z mýta a priznanie zľavy</t>
  </si>
  <si>
    <t>Vedenie kmeňových dát evidencie vozidiel</t>
  </si>
  <si>
    <t>Vedenie mýtnych účtov vozidiel</t>
  </si>
  <si>
    <t>Kontrola správnosti a úplnosti mýtnych transakcií (súvislá trasa jazdy)</t>
  </si>
  <si>
    <t>Funkcia</t>
  </si>
  <si>
    <t>Následná kontrola správnosti (lustrácia/scan ORV) registračných údajov vozidla</t>
  </si>
  <si>
    <t>Registrácia vozidla oslobodeného od úhrady mýta (trvalé, dočasné, územne obmedzené oslobodenie)</t>
  </si>
  <si>
    <t>Príjem a rozhodnutie o žiadosti o oslobodenie vozidla od úhrady mýta</t>
  </si>
  <si>
    <t xml:space="preserve">Odobratie oslobodenia od úhrady mýta </t>
  </si>
  <si>
    <t>Archivácia fyzických dokumentov</t>
  </si>
  <si>
    <t>Vyčíslenie zľavy z mýta (nad mýtnou transakciou)</t>
  </si>
  <si>
    <t>Vedenie účtovnej evidencie (mýto, zľavy, DPH, iné služby)</t>
  </si>
  <si>
    <t>Vyčíslenie pohľadávok za tretími stranami (poskytovatelia mýtnych služieb, prevádzkovatelia cestnej infraštruktúry)</t>
  </si>
  <si>
    <t>Vyčíslenie finančných nárokov tretích strán (poskytovatelia mýtnych služieb, prevádzkovatelia cestnej infraštruktúry)</t>
  </si>
  <si>
    <t>Fakturácia / dobropisovanie pohľadávok / záväzkov tretích strán</t>
  </si>
  <si>
    <t xml:space="preserve">Prijatie oznámenia a riešenie problému s vyúčtovaním </t>
  </si>
  <si>
    <t>Overenie vhodnosti prvkov interoperability na použitie v EMS - I. OBU</t>
  </si>
  <si>
    <t>Overenie vhodnosti prvkov interoperability na použitie v EMS - II. Rozhranie 12855</t>
  </si>
  <si>
    <t>Uzatvorenie Zmluvy o zmluve budúcej o poskytovaní mýtnych služieb (EETS)</t>
  </si>
  <si>
    <t>Prijatie, vstupná kontrola a schválenie zábezpeky za služby EETS</t>
  </si>
  <si>
    <t>Periodická fakturácia prejazdeného mýta a iných služieb v režime EETS, vystavenie daňových dokladov</t>
  </si>
  <si>
    <t>Denné vyúčtovanie prejazdeného mýta a iných služieb v režime EETS (Payment Claim)</t>
  </si>
  <si>
    <t>Príjem, párovanie a kontrola prijatých platieb od Poskytovateľov mýtnych služieb (EETS)</t>
  </si>
  <si>
    <t>Vysporiadanie pohľadávky zo zábezpeky za služby EETS</t>
  </si>
  <si>
    <t>Registrácia vozidla a OBE v režime EETS</t>
  </si>
  <si>
    <t>Zmena údajov registrácie vozidla a OBE v režime EETS</t>
  </si>
  <si>
    <t>Ukončenie registrácie vozidla a OBE v režime EETS</t>
  </si>
  <si>
    <t>Uzatvorenie Zmluvy o poskytovaní mýtnych služieb (EETS)</t>
  </si>
  <si>
    <t>Zmena Zmluvy o poskytovaní mýtnych služieb (EETS)</t>
  </si>
  <si>
    <t>Ukončenie Zmluvy o poskytovaní mýtnych služieb (EETS) a finančné vysporiadanie</t>
  </si>
  <si>
    <t>Zablokovanie poskytovateľa mýtnych služieb (všetky OBE)</t>
  </si>
  <si>
    <t>Deaktivácia poskytovateľa mýtnych služieb (EETS)</t>
  </si>
  <si>
    <t>Zavedenie a aktivácia poskytovateľa mýtnych služieb (EETS)</t>
  </si>
  <si>
    <t>Zablokovanie OBE (black-listácia) na žiadosť poskytovateľa mýtnych služieb</t>
  </si>
  <si>
    <t>Zablokovanie OBE (black-listácia) z podnetu TC</t>
  </si>
  <si>
    <t>Správa kontextových údajov - pravidlá vyrubenia mýta (časové a logické podmienky)</t>
  </si>
  <si>
    <t>Správa kontextových údajov - mýtne úseky</t>
  </si>
  <si>
    <t>Správa kontextových údajov - geomodel k mýtnym úsekom</t>
  </si>
  <si>
    <t>Správa kontextových údajov - publikácia dát</t>
  </si>
  <si>
    <t>Správa kontextových údajov - mýtne sadzby, ich zložky a dane</t>
  </si>
  <si>
    <t>Zber a vstupná kontrola polohových údajov od poskytovateľov mýtnych služieb (Toll Declaration)</t>
  </si>
  <si>
    <t>Prijatie a riešenie ohláseného technického problému s poskytovateľom mýtnych služieb</t>
  </si>
  <si>
    <t>Prijatie a riešenie podania vo veci vyúčtovania  s poskytovateľom mýtnych služieb</t>
  </si>
  <si>
    <t>Odovzdávanie údajov z evidencie vozidiel a OBU/OBE kontrolnému systému</t>
  </si>
  <si>
    <t>Úradná oprava správnosti registračných údajov vozidla</t>
  </si>
  <si>
    <t>Vyčíslenie nárokov z titulu úradnej opravy registračných údajov vozidla</t>
  </si>
  <si>
    <t>Vysporiadanie nárokov z titulu úradnej opravy registračných údajov vozidla</t>
  </si>
  <si>
    <t>Zber údajov do dátového skladu (DWH)</t>
  </si>
  <si>
    <t>Spracovanie pravidelných tabuľkových a grafických výstupov z DWH</t>
  </si>
  <si>
    <t>Distribúcia výstupov z DWH odberateľom dát</t>
  </si>
  <si>
    <t>Správa oprávnení odberateľov dát z DWH</t>
  </si>
  <si>
    <t>Vytváranie ad-hoc analýz nad dátami z DWH a sprístupnenie ich výsledkov</t>
  </si>
  <si>
    <t>OBU</t>
  </si>
  <si>
    <t>Správa oprávnení používateľov zákazníckych služieb</t>
  </si>
  <si>
    <t>Poskytovanie hlasovej interaktívnej podpory používateľom VÚC</t>
  </si>
  <si>
    <t>Poskytovanie interaktívnej podpory používateľom VÚC prostredníctvom sociálnych sietí</t>
  </si>
  <si>
    <t>Vedenie skladovej evidencie zásob OBU na jednotlivých skladoch a POS</t>
  </si>
  <si>
    <t>Fyzická doprava OBU</t>
  </si>
  <si>
    <t>Príprava OBU na vydanie na POS (kontrola, dobíjanie batérie)</t>
  </si>
  <si>
    <t>Hromadná príprava OBU na vydanie pre flotilu vozidiel cez TC (kontrola, dobíjanie batérie)</t>
  </si>
  <si>
    <t>Aktivácia SIM OBU a personalizácia OBU pri výdaji zákazníkovi</t>
  </si>
  <si>
    <t>Prevádzkovanie OBU - zabezpečenie výmeny nespoľahlivých/chybných OBU za bezchybné</t>
  </si>
  <si>
    <t>Prevádzkovanie OBU - sledovanie prevádzkových parametrov, vyhodnotenie porúch, chýb</t>
  </si>
  <si>
    <t>Prevádzkovanie OBU - sledovanie štatistík prevádzky</t>
  </si>
  <si>
    <t>Prevádzkovanie OBU - aktualizácia firmvéru/softvéru OTA</t>
  </si>
  <si>
    <t xml:space="preserve">Prevádzkovanie OBU - správa prvkov zabezpečujúcich doveru elektronických transakcií </t>
  </si>
  <si>
    <t xml:space="preserve">Správa prvkov zabezpečujúcich doveru elektronických transakcií </t>
  </si>
  <si>
    <t>Spätný odber OBU od zákazníkov, kontrola fyzického a preskúšanie funkčného stavu</t>
  </si>
  <si>
    <t>Depersonalizácia a deaktivácia OBU odovzdaných zákazníkmi</t>
  </si>
  <si>
    <t>Deaktivácia SIM OBU po zablokovaniu OBU z dovodu trvalej nečinnosti</t>
  </si>
  <si>
    <t>Deaktivácia SIM OBU po zablokovaniu OBU z dovodu jej straty, odcudzenia, zničenia</t>
  </si>
  <si>
    <t>Uplatnenie náhrady zistenej škody na OBU z depozitu</t>
  </si>
  <si>
    <t>Evidencia depozitu za OBU</t>
  </si>
  <si>
    <t>Evidencia OBU vydaných zákazníkom a ich priradenia k EČV vozidla</t>
  </si>
  <si>
    <t>Vyčistenie, doplnenie spotrebných materiálov/výmena opotrebovaných dielov u vrátených OBU (držiaky, káble, batéria, návod, distribučný obal) a ich zaradenie do disponibinej zásoby OBU</t>
  </si>
  <si>
    <t>Plánovanie a sledovanie pohybu OBU na jednotlivých skladoch, vr. zmeny stavu OBU (disponibilná, vrátená, vadná, atď.)</t>
  </si>
  <si>
    <t>Zabezpečenie dodávky nových OBU a doplnenie zásob</t>
  </si>
  <si>
    <t>Ekologická likvidácia vyradených OBU</t>
  </si>
  <si>
    <t>Uzamknutie OBU</t>
  </si>
  <si>
    <t>Odomknutie OBU</t>
  </si>
  <si>
    <t>Uzamknutie OBU (black-listácia) na žiadosť prevádzkovateľa vozidla</t>
  </si>
  <si>
    <t>Uzamknutie OBU (black-listácia) na základe podozrenia zo spáchania mýtneho priestupku</t>
  </si>
  <si>
    <t>Uzamknutie OBU (black-listácia) na základe neuhradeného mýtneho dlhu</t>
  </si>
  <si>
    <t>Zablokovanie OBU z dovodu trvalej nečinnosti (nevratné)</t>
  </si>
  <si>
    <t>Zablokovanie OBU z dovodu jej straty, odcudzenia, zničenia (nevratné)</t>
  </si>
  <si>
    <t>Prevádzkovanie OBU - zber a spracovanie polohových dát</t>
  </si>
  <si>
    <t>Prevádzkovanie OBU - odosielanie polohových dát do systému TC (Toll Declaration)</t>
  </si>
  <si>
    <t>Prevádzkovanie OBU - sledovanie polohy vozidla a riadenie prevádzkového módu (Stand-by) OBU v závislosti na prekročení štátnej hranice</t>
  </si>
  <si>
    <t>Prevádzkovanie OBU - sledovanie polohy vozidla a prechod zo Stand-by do prevádzkového módu OBU v závislosti na priblížení sa k štátnej hranici SR z vonkajšku</t>
  </si>
  <si>
    <t>Prevádzkovanie OBU - signalizácia funkcie a stavu OBU vodičovi cez HMI OBU</t>
  </si>
  <si>
    <t>Prevádzkovanie OBU - spracovanie povelov zadaných vodičom cez HMI OBU (napr. nastavenie počtu náprav vozidla)</t>
  </si>
  <si>
    <t>Prevádzkovanie OBU - sledovanie stavu vozidla a riadenie prevádzkového módu (Stand-by/prevádzka) OBU v závislosti na činnosti pohonnej jednotky vozidla</t>
  </si>
  <si>
    <t>Prevádzkovanie OBU - zabezpečenie dátových služieb GSM</t>
  </si>
  <si>
    <t>Prevádzkovanie OBU - kontrolná komunikácia s prostriedkami dohľadu prostredníctvom DSRC rozhrania podľa štandardu CCC trasakcií</t>
  </si>
  <si>
    <t>Agenda Správcu výberu mýta</t>
  </si>
  <si>
    <t>CRM</t>
  </si>
  <si>
    <t>l</t>
  </si>
  <si>
    <t>CRM-BO</t>
  </si>
  <si>
    <t>POS-DP</t>
  </si>
  <si>
    <t>POS-CP</t>
  </si>
  <si>
    <t>POS-BDP</t>
  </si>
  <si>
    <t>WSC</t>
  </si>
  <si>
    <t>MSC</t>
  </si>
  <si>
    <t>Kurier /pošta</t>
  </si>
  <si>
    <t>Call- centrum</t>
  </si>
  <si>
    <t>Vedenie operatívnej evidencie o depozitoch za OBU</t>
  </si>
  <si>
    <t>CRM-BO 2(TC)</t>
  </si>
  <si>
    <t>CRM-BO 1(TSP)</t>
  </si>
  <si>
    <t>Účtovná evidencia 1(TSP)</t>
  </si>
  <si>
    <t>Registratúra Archív 1(TSP)</t>
  </si>
  <si>
    <t>Účtovná evidencia 2(TC)</t>
  </si>
  <si>
    <t>Registratúra Archív 2(TC)</t>
  </si>
  <si>
    <t>Vedenie operatívnej evidencie o prijatých depozitoch za poskytnutú OBU</t>
  </si>
  <si>
    <t>Help-desk</t>
  </si>
  <si>
    <t>Dopočítanie chýbajúcich mýtnych transakcií</t>
  </si>
  <si>
    <r>
      <t>l</t>
    </r>
    <r>
      <rPr>
        <sz val="8"/>
        <color theme="1" tint="0.499984740745262"/>
        <rFont val="Calibri"/>
        <family val="2"/>
        <charset val="238"/>
        <scheme val="minor"/>
      </rPr>
      <t>1)</t>
    </r>
  </si>
  <si>
    <t>Dátový sklad (DWH)</t>
  </si>
  <si>
    <t>Evidencia 
a vyrubenie mýta</t>
  </si>
  <si>
    <t>Poskytovanie a prevádzka Palubných jednotiek</t>
  </si>
  <si>
    <t>Kanály zákazníckych služieb</t>
  </si>
  <si>
    <t>1) testovacie prostredie</t>
  </si>
  <si>
    <t>ET-BO</t>
  </si>
  <si>
    <t>Význam skratiek</t>
  </si>
  <si>
    <t>Toll Charger - Správca výberu mýta</t>
  </si>
  <si>
    <t>Toll Service Provider - Poskytovateľ mýtnych služieb</t>
  </si>
  <si>
    <t>On-board Unit - Palubná jednotka</t>
  </si>
  <si>
    <t>OBE</t>
  </si>
  <si>
    <t>On-board Equipment - Interoperabilné palubné zariadenie (OBU pre EETS)</t>
  </si>
  <si>
    <t>Systém obsluhy zákazníkov</t>
  </si>
  <si>
    <t>Back-office obsluhy zákazníkov</t>
  </si>
  <si>
    <t>POS</t>
  </si>
  <si>
    <t xml:space="preserve">Zákaznícke miesto </t>
  </si>
  <si>
    <t>DP</t>
  </si>
  <si>
    <t>Distrubučné miesto</t>
  </si>
  <si>
    <t>BDP</t>
  </si>
  <si>
    <t>Distribučné miesto při hraničných priechodoch</t>
  </si>
  <si>
    <t>CP</t>
  </si>
  <si>
    <t>Kontaktné miesto</t>
  </si>
  <si>
    <t>Web Self-care Portál, internetová samoobsluha</t>
  </si>
  <si>
    <t>Systém evidencie a vyrubenia mýta (Electronic Tolling Back-office)</t>
  </si>
  <si>
    <t>Systém riadenia logistiky</t>
  </si>
  <si>
    <t>ET-BO Proxy</t>
  </si>
  <si>
    <t>GIS</t>
  </si>
  <si>
    <t>Geografický informačný systém</t>
  </si>
  <si>
    <t>DWH</t>
  </si>
  <si>
    <t>Dátový sklad</t>
  </si>
  <si>
    <t>Mobilný Self-care Portál, mobilná samoobsluha</t>
  </si>
  <si>
    <t>Riadenie kvality poskytovateľov mýtnych služieb / služieb EMS</t>
  </si>
  <si>
    <t>Riadenie údržby technológií</t>
  </si>
  <si>
    <t>Správa majetku (technológií EMS)</t>
  </si>
  <si>
    <t>Agenda</t>
  </si>
  <si>
    <t>Modul</t>
  </si>
  <si>
    <t>UCP</t>
  </si>
  <si>
    <t>Počet kanálov</t>
  </si>
  <si>
    <t>Vykonávateľ</t>
  </si>
  <si>
    <t>Počet Kanálov</t>
  </si>
  <si>
    <t>Služba</t>
  </si>
  <si>
    <t>Podporné služby</t>
  </si>
  <si>
    <t>Riadenie logistiky</t>
  </si>
  <si>
    <t>Výmena dát</t>
  </si>
  <si>
    <t>Zložitosť</t>
  </si>
  <si>
    <t>Výsledok</t>
  </si>
  <si>
    <t>Počet UC</t>
  </si>
  <si>
    <t>Účtovná evidencia</t>
  </si>
  <si>
    <t>Registratúra Archív</t>
  </si>
  <si>
    <t>Celkový súčet</t>
  </si>
  <si>
    <t>Počet z Služba</t>
  </si>
  <si>
    <t>P.č.</t>
  </si>
  <si>
    <t>Typ používateľa</t>
  </si>
  <si>
    <t>Celkom</t>
  </si>
  <si>
    <t>Podnikateľ (G2B)</t>
  </si>
  <si>
    <t>interný subjekt VS (G2E)</t>
  </si>
  <si>
    <t>Informačný systém</t>
  </si>
  <si>
    <t>ISVS organizácie VS (G2G)</t>
  </si>
  <si>
    <t>Používateľ</t>
  </si>
  <si>
    <t>Súčet z Výsledok</t>
  </si>
  <si>
    <t>Prevádzkovateľ vozidla</t>
  </si>
  <si>
    <t>Vodič</t>
  </si>
  <si>
    <t>Počet užívateľov</t>
  </si>
  <si>
    <t>Označenia stĺpcov</t>
  </si>
  <si>
    <t>ID</t>
  </si>
  <si>
    <t>Faktor</t>
  </si>
  <si>
    <t>Váha</t>
  </si>
  <si>
    <t>E1</t>
  </si>
  <si>
    <t>Znalosť UML</t>
  </si>
  <si>
    <t>E2</t>
  </si>
  <si>
    <t>Skúsenosti s implementáciou</t>
  </si>
  <si>
    <t>E3</t>
  </si>
  <si>
    <t>Skúsenosti s objektovo orientovaným prístupom</t>
  </si>
  <si>
    <t>E4</t>
  </si>
  <si>
    <t>Schopnosť vedúcich analytikov</t>
  </si>
  <si>
    <t>E5</t>
  </si>
  <si>
    <t>Motivácia</t>
  </si>
  <si>
    <t>E6</t>
  </si>
  <si>
    <t>Stabilita požiadaviek</t>
  </si>
  <si>
    <t>E7</t>
  </si>
  <si>
    <t>Zamestnanci na čiastočný úväzok</t>
  </si>
  <si>
    <t>E8</t>
  </si>
  <si>
    <t>Zložitý programovací jazyk</t>
  </si>
  <si>
    <t>Total factor</t>
  </si>
  <si>
    <t>KOM</t>
  </si>
  <si>
    <t>VYS</t>
  </si>
  <si>
    <t>Moduly</t>
  </si>
  <si>
    <t>T1</t>
  </si>
  <si>
    <t>Distribuovaný systém</t>
  </si>
  <si>
    <t>T2</t>
  </si>
  <si>
    <t>Výkon</t>
  </si>
  <si>
    <t>T3</t>
  </si>
  <si>
    <t>Efektívnosť pre používateľa</t>
  </si>
  <si>
    <t>T4</t>
  </si>
  <si>
    <t>Komplexnosť vnútorných procesov</t>
  </si>
  <si>
    <t>T5</t>
  </si>
  <si>
    <t>Znovapoužiteľnosť</t>
  </si>
  <si>
    <t>T6</t>
  </si>
  <si>
    <t>Jednoduchosť inštalácie</t>
  </si>
  <si>
    <t>T7</t>
  </si>
  <si>
    <t>Jednoduchosť používania</t>
  </si>
  <si>
    <t>T8</t>
  </si>
  <si>
    <t>Prenosnosť</t>
  </si>
  <si>
    <t>T9</t>
  </si>
  <si>
    <t>Jednoduchosť zmeny</t>
  </si>
  <si>
    <t>T10</t>
  </si>
  <si>
    <t>Súbežnosť</t>
  </si>
  <si>
    <t>T11</t>
  </si>
  <si>
    <t>Osobitné bezpečnostné prvky</t>
  </si>
  <si>
    <t>T12</t>
  </si>
  <si>
    <t>Poskytuje priamy prístup k tretím systémom</t>
  </si>
  <si>
    <t>T13</t>
  </si>
  <si>
    <t>Špeciálne znalosti a zručnosti používateľov</t>
  </si>
  <si>
    <t>TCF</t>
  </si>
  <si>
    <t>UAW</t>
  </si>
  <si>
    <t>EFC</t>
  </si>
  <si>
    <t>TFC</t>
  </si>
  <si>
    <t>UUCW</t>
  </si>
  <si>
    <t>PF</t>
  </si>
  <si>
    <t>SPOLU (UCP)</t>
  </si>
  <si>
    <t>Estimatet Effort (hours)</t>
  </si>
  <si>
    <t>Estimated Costs</t>
  </si>
  <si>
    <t>MD Rate (s DPH)</t>
  </si>
  <si>
    <t>ECF</t>
  </si>
  <si>
    <t>Estimated Effort</t>
  </si>
  <si>
    <t>MH Rate</t>
  </si>
  <si>
    <t>KOMBI</t>
  </si>
  <si>
    <t>Interný zamestnanec NDS</t>
  </si>
  <si>
    <t>PF1</t>
  </si>
  <si>
    <t>PF2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</si>
</sst>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€&quot;"/>
  </numFmts>
  <fonts count="16" x14ac:knownFonts="1">
    <font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8"/>
      <color theme="1" tint="0.499984740745262"/>
      <name val="Calibri"/>
      <family val="2"/>
      <charset val="238"/>
      <scheme val="minor"/>
    </font>
    <font>
      <sz val="10"/>
      <color theme="1" tint="0.499984740745262"/>
      <name val="Wingdings"/>
      <charset val="2"/>
    </font>
    <font>
      <sz val="8"/>
      <color theme="1" tint="0.499984740745262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scheme val="minor"/>
    </font>
    <font>
      <sz val="10"/>
      <color theme="1"/>
      <name val="Calibri Light"/>
      <family val="2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charset val="238"/>
      <scheme val="major"/>
    </font>
    <font>
      <b/>
      <sz val="10"/>
      <color rgb="FF000000"/>
      <name val="Calibri Light"/>
      <family val="2"/>
      <scheme val="major"/>
    </font>
    <font>
      <sz val="10"/>
      <color rgb="FF000000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sz val="9"/>
      <color rgb="FF000000"/>
      <name val="Verdana"/>
      <family val="2"/>
      <charset val="238"/>
    </font>
    <font>
      <b/>
      <sz val="9"/>
      <color rgb="FF00000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7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3" fillId="0" borderId="0" xfId="0" applyFont="1" applyAlignment="1">
      <alignment horizontal="center" vertical="center" textRotation="90"/>
    </xf>
    <xf numFmtId="0" fontId="0" fillId="3" borderId="0" xfId="0" applyFill="1"/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/>
    </xf>
    <xf numFmtId="0" fontId="0" fillId="3" borderId="0" xfId="0" applyFill="1" applyAlignment="1">
      <alignment vertic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3" borderId="0" xfId="0" applyFill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5" borderId="1" xfId="0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textRotation="90"/>
    </xf>
    <xf numFmtId="0" fontId="0" fillId="3" borderId="3" xfId="0" applyFill="1" applyBorder="1" applyAlignment="1">
      <alignment vertical="top" wrapText="1"/>
    </xf>
    <xf numFmtId="0" fontId="0" fillId="3" borderId="3" xfId="0" applyFill="1" applyBorder="1" applyAlignment="1">
      <alignment horizontal="center" vertical="top" wrapText="1"/>
    </xf>
    <xf numFmtId="0" fontId="0" fillId="3" borderId="4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6" borderId="1" xfId="0" applyFill="1" applyBorder="1" applyAlignment="1">
      <alignment vertical="top" wrapText="1"/>
    </xf>
    <xf numFmtId="0" fontId="0" fillId="6" borderId="1" xfId="0" applyFill="1" applyBorder="1" applyAlignment="1">
      <alignment horizontal="center" vertical="top" wrapText="1"/>
    </xf>
    <xf numFmtId="0" fontId="0" fillId="6" borderId="1" xfId="0" applyFill="1" applyBorder="1" applyAlignment="1">
      <alignment vertical="center"/>
    </xf>
    <xf numFmtId="0" fontId="4" fillId="6" borderId="1" xfId="0" applyFont="1" applyFill="1" applyBorder="1" applyAlignment="1">
      <alignment horizontal="center" vertical="center"/>
    </xf>
    <xf numFmtId="0" fontId="7" fillId="3" borderId="0" xfId="0" applyFont="1" applyFill="1" applyAlignment="1">
      <alignment vertical="top" wrapText="1"/>
    </xf>
    <xf numFmtId="0" fontId="0" fillId="2" borderId="5" xfId="0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center" vertical="top" wrapText="1"/>
    </xf>
    <xf numFmtId="0" fontId="10" fillId="5" borderId="0" xfId="0" applyFont="1" applyFill="1" applyBorder="1"/>
    <xf numFmtId="0" fontId="10" fillId="5" borderId="0" xfId="0" applyFont="1" applyFill="1" applyBorder="1" applyAlignment="1">
      <alignment horizontal="left"/>
    </xf>
    <xf numFmtId="0" fontId="2" fillId="5" borderId="0" xfId="0" applyFont="1" applyFill="1"/>
    <xf numFmtId="0" fontId="0" fillId="0" borderId="0" xfId="0" pivotButton="1"/>
    <xf numFmtId="0" fontId="0" fillId="0" borderId="0" xfId="0" applyNumberFormat="1"/>
    <xf numFmtId="0" fontId="12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 wrapText="1"/>
    </xf>
    <xf numFmtId="0" fontId="12" fillId="0" borderId="0" xfId="0" applyFont="1" applyFill="1" applyBorder="1" applyAlignment="1">
      <alignment horizontal="center" vertical="top"/>
    </xf>
    <xf numFmtId="0" fontId="8" fillId="0" borderId="0" xfId="0" applyFont="1" applyFill="1" applyBorder="1"/>
    <xf numFmtId="0" fontId="1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center" vertical="top"/>
    </xf>
    <xf numFmtId="0" fontId="13" fillId="0" borderId="0" xfId="0" applyFont="1" applyFill="1" applyBorder="1"/>
    <xf numFmtId="0" fontId="0" fillId="0" borderId="0" xfId="0" applyAlignment="1">
      <alignment horizontal="center"/>
    </xf>
    <xf numFmtId="0" fontId="8" fillId="0" borderId="0" xfId="0" applyFont="1" applyFill="1" applyBorder="1" applyAlignment="1">
      <alignment horizontal="center"/>
    </xf>
    <xf numFmtId="0" fontId="0" fillId="0" borderId="0" xfId="0" applyAlignment="1">
      <alignment horizontal="center" textRotation="90" wrapText="1"/>
    </xf>
    <xf numFmtId="0" fontId="8" fillId="0" borderId="0" xfId="0" applyFont="1"/>
    <xf numFmtId="0" fontId="13" fillId="3" borderId="0" xfId="0" applyFont="1" applyFill="1" applyBorder="1"/>
    <xf numFmtId="0" fontId="11" fillId="3" borderId="0" xfId="0" applyFont="1" applyFill="1" applyBorder="1" applyAlignment="1">
      <alignment vertical="top"/>
    </xf>
    <xf numFmtId="0" fontId="11" fillId="3" borderId="0" xfId="0" applyFont="1" applyFill="1" applyBorder="1" applyAlignment="1">
      <alignment vertical="top" wrapText="1"/>
    </xf>
    <xf numFmtId="0" fontId="0" fillId="0" borderId="0" xfId="0" pivotButton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textRotation="90" wrapText="1"/>
    </xf>
    <xf numFmtId="0" fontId="0" fillId="0" borderId="0" xfId="0" applyNumberFormat="1" applyAlignment="1">
      <alignment wrapText="1"/>
    </xf>
    <xf numFmtId="0" fontId="13" fillId="3" borderId="0" xfId="0" applyFont="1" applyFill="1" applyBorder="1" applyAlignment="1">
      <alignment textRotation="90"/>
    </xf>
    <xf numFmtId="164" fontId="0" fillId="0" borderId="0" xfId="0" applyNumberFormat="1" applyAlignment="1">
      <alignment wrapText="1"/>
    </xf>
    <xf numFmtId="0" fontId="0" fillId="0" borderId="0" xfId="0" applyFont="1" applyFill="1"/>
    <xf numFmtId="0" fontId="14" fillId="0" borderId="0" xfId="0" applyFont="1" applyFill="1" applyAlignment="1">
      <alignment vertical="top"/>
    </xf>
    <xf numFmtId="0" fontId="14" fillId="0" borderId="0" xfId="0" applyFont="1" applyFill="1" applyAlignment="1">
      <alignment vertical="top" wrapText="1"/>
    </xf>
    <xf numFmtId="0" fontId="14" fillId="0" borderId="0" xfId="0" applyFont="1" applyFill="1" applyAlignment="1">
      <alignment horizontal="center" vertical="top"/>
    </xf>
    <xf numFmtId="0" fontId="0" fillId="5" borderId="0" xfId="0" applyFont="1" applyFill="1"/>
    <xf numFmtId="0" fontId="0" fillId="5" borderId="0" xfId="0" applyFont="1" applyFill="1" applyAlignment="1">
      <alignment textRotation="90"/>
    </xf>
    <xf numFmtId="0" fontId="14" fillId="5" borderId="0" xfId="0" applyFont="1" applyFill="1" applyAlignment="1">
      <alignment vertical="top"/>
    </xf>
    <xf numFmtId="0" fontId="14" fillId="5" borderId="0" xfId="0" applyFont="1" applyFill="1" applyAlignment="1">
      <alignment vertical="top" wrapText="1"/>
    </xf>
    <xf numFmtId="0" fontId="15" fillId="5" borderId="0" xfId="0" applyFont="1" applyFill="1" applyAlignment="1">
      <alignment horizontal="center" vertical="top"/>
    </xf>
    <xf numFmtId="0" fontId="2" fillId="5" borderId="0" xfId="0" applyFont="1" applyFill="1" applyAlignment="1">
      <alignment wrapText="1"/>
    </xf>
    <xf numFmtId="0" fontId="8" fillId="0" borderId="0" xfId="0" applyFont="1" applyFill="1" applyBorder="1" applyAlignment="1"/>
    <xf numFmtId="0" fontId="0" fillId="0" borderId="0" xfId="0" applyFont="1" applyFill="1" applyAlignment="1"/>
    <xf numFmtId="0" fontId="8" fillId="0" borderId="0" xfId="0" applyFont="1" applyFill="1" applyBorder="1" applyAlignment="1">
      <alignment horizontal="left"/>
    </xf>
    <xf numFmtId="164" fontId="0" fillId="0" borderId="0" xfId="0" applyNumberFormat="1"/>
    <xf numFmtId="2" fontId="0" fillId="0" borderId="0" xfId="0" applyNumberFormat="1"/>
    <xf numFmtId="0" fontId="2" fillId="7" borderId="6" xfId="0" applyFont="1" applyFill="1" applyBorder="1"/>
    <xf numFmtId="4" fontId="0" fillId="0" borderId="0" xfId="0" applyNumberFormat="1"/>
    <xf numFmtId="0" fontId="13" fillId="3" borderId="0" xfId="0" applyFont="1" applyFill="1" applyBorder="1" applyAlignment="1">
      <alignment horizontal="center"/>
    </xf>
    <xf numFmtId="0" fontId="0" fillId="5" borderId="0" xfId="0" applyFont="1" applyFill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left" vertical="center"/>
    </xf>
    <xf numFmtId="0" fontId="0" fillId="3" borderId="4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3" borderId="1" xfId="0" applyFill="1" applyBorder="1" applyAlignment="1">
      <alignment horizontal="center"/>
    </xf>
  </cellXfs>
  <cellStyles count="1">
    <cellStyle name="Normal" xfId="0" builtinId="0"/>
  </cellStyles>
  <dxfs count="39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bottom"/>
    </dxf>
    <dxf>
      <alignment vertical="bottom"/>
    </dxf>
    <dxf>
      <alignment vertical="bottom"/>
    </dxf>
    <dxf>
      <alignment vertical="bottom"/>
    </dxf>
    <dxf>
      <alignment vertical="bottom"/>
    </dxf>
    <dxf>
      <alignment textRotation="90"/>
    </dxf>
    <dxf>
      <alignment textRotation="90"/>
    </dxf>
    <dxf>
      <alignment textRotation="90"/>
    </dxf>
    <dxf>
      <alignment textRotation="90"/>
    </dxf>
    <dxf>
      <alignment textRotation="90"/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  <color auto="1"/>
      </font>
      <fill>
        <patternFill>
          <bgColor theme="0" tint="-0.24994659260841701"/>
        </patternFill>
      </fill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textRotation="90"/>
    </dxf>
    <dxf>
      <alignment textRotation="90"/>
    </dxf>
    <dxf>
      <alignment textRotation="90"/>
    </dxf>
    <dxf>
      <alignment textRotation="90"/>
    </dxf>
    <dxf>
      <alignment textRotation="9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eter duris" id="{187FCFE1-91B7-4337-AE67-18927370956D}" userId="7ec55e5b485898c3" providerId="Windows Live"/>
</personList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eter duris" refreshedDate="44032.442878587965" createdVersion="6" refreshedVersion="6" minRefreshableVersion="3" recordCount="177">
  <cacheSource type="worksheet">
    <worksheetSource ref="A2:J179" sheet="UUCW"/>
  </cacheSource>
  <cacheFields count="9">
    <cacheField name="Agenda" numFmtId="0">
      <sharedItems count="3">
        <s v="Zákaznícke služby"/>
        <s v="Poskytovanie a prevádzka Palubných jednotiek"/>
        <s v="Agenda Správcu výberu mýta"/>
      </sharedItems>
    </cacheField>
    <cacheField name="Služba" numFmtId="0">
      <sharedItems/>
    </cacheField>
    <cacheField name="Modul" numFmtId="0">
      <sharedItems count="8">
        <s v="CRM-BO"/>
        <s v="Účtovná evidencia"/>
        <s v="Registratúra Archív"/>
        <s v="Systém riadenia logistiky"/>
        <s v="ET-BO Proxy"/>
        <s v="ET-BO"/>
        <s v="Dátový sklad (DWH)"/>
        <s v="GIS"/>
      </sharedItems>
    </cacheField>
    <cacheField name="UCP" numFmtId="0">
      <sharedItems count="146">
        <s v="Registrácia vozidla v režime predplateného mýta"/>
        <s v="Uzatvorenie Zmluvy o užívaní VÚC v režime predplateného mýta"/>
        <s v="Poskytnutie OBU vodičovi/prevádzkovateľovi vozidla vr. personalizácie"/>
        <s v="Výber depozitu za OBU"/>
        <s v="Úhrada predplateného mýta"/>
        <s v="Úhrada nedoplatku mýta"/>
        <s v="Vedenie evidencie o úhradách mýta v režime predplateného mýta (mýtny účet vozidla)"/>
        <s v="Vedenie evidencie o prijatých depozitoch za poskytnutú OBU"/>
        <s v="Zmena registračných údajov vozidla v režime predplateného mýta"/>
        <s v="Zmena údajov Zmluvy o užívaní VÚC v režime predplateného mýta"/>
        <s v="Ukončenie registrácie vozidla v režime predplateného mýta"/>
        <s v="Vrátenie neprejazdeného predplateného mýta vodičovi/prevádzkovateľovi vozidla"/>
        <s v="Spätný odber OBU od vodiča/prevádzkovateľa vozidla vr. depersonalizácie"/>
        <s v="Vrátenie depozitu za OBU / uplatnenie náhrady škody vzniknutej na OBU z depozitu"/>
        <s v="Ukončenie Zmluvy o užívaní vymedzených úsekov ciest v režime predplateného mýta"/>
        <s v="Prijatie oznámenia a vyriešenie problému s OBU"/>
        <s v="Prijatie oznámenia a riešenie problému s úhradou predplateného mýta"/>
        <s v="Prijatie a riešenie iného podania"/>
        <s v="Poskytovanie všeobecných informácií o výbere mýta"/>
        <s v="Vedenie operatívnej evidencie o depozitoch za OBU"/>
        <s v="Vyhodnotenie nízkeho kreditného zostatku OBU a varovanie vodiča"/>
        <s v="Vysporiadanie mýtneho dlhu na mýtnom účtu vozidla úhradou nedoplatku mýta "/>
        <s v="Vysporiadanie mýtneho dlhu na mýtnom účtu vozidla z iného mýtneho účtu toho istého prevádzkovateľa "/>
        <s v="Vysporiadanie preplatkov mýta (vratky mýta na základe reklamácie)"/>
        <s v="Vystavenie daňových dokladov pre prevádzkovatela vozidla"/>
        <s v="Poskytnutie výpisu mýtnych transakcií na žiadosť prevádzkovateľa vozidla"/>
        <s v="Zablokovanie OBU (black-listácia) na žiadosť prevádzkovateľa vozidla"/>
        <s v="Zablokovanie OBU (black-listácia) na povel TC"/>
        <s v="Zablokovanie OBU (black-listácia) na základe neuhradeného mýtneho dlhu"/>
        <s v="Správa oprávnení používateľov zákazníckych služieb"/>
        <s v="Vedenie účtovnej evidencie o predplatenom a spotrebovanom mýte vr. DPH"/>
        <s v="Odvod spotrebovaného mýta na účet NDS"/>
        <s v="Vedenie spisovej agendy"/>
        <s v="Archivácia fyzických dokumentov"/>
        <s v="Vedenie skladovej evidencie zásob OBU na jednotlivých skladoch a POS"/>
        <s v="Plánovanie a sledovanie pohybu OBU na jednotlivých skladoch, vr. zmeny stavu OBU (disponibilná, vrátená, vadná, atď.)"/>
        <s v="Fyzická doprava OBU"/>
        <s v="Príprava OBU na vydanie na POS (kontrola, dobíjanie batérie)"/>
        <s v="Hromadná príprava OBU na vydanie pre flotilu vozidiel cez TC (kontrola, dobíjanie batérie)"/>
        <s v="Spätný odber OBU od zákazníkov, kontrola fyzického a preskúšanie funkčného stavu"/>
        <s v="Uplatnenie náhrady zistenej škody na OBU z depozitu"/>
        <s v="Vrátenie depozitu za OBU"/>
        <s v="Evidencia depozitu za OBU"/>
        <s v="Vyčistenie, doplnenie spotrebných materiálov/výmena opotrebovaných dielov u vrátených OBU (držiaky, káble, batéria, návod, distribučný obal) a ich zaradenie do disponibinej zásoby OBU"/>
        <s v="Zabezpečenie dodávky nových OBU a doplnenie zásob"/>
        <s v="Ekologická likvidácia vyradených OBU"/>
        <s v="Aktivácia SIM OBU a personalizácia OBU pri výdaji zákazníkovi"/>
        <s v="Prevádzkovanie OBU - zber a spracovanie polohových dát"/>
        <s v="Prevádzkovanie OBU - signalizácia funkcie a stavu OBU vodičovi cez HMI OBU"/>
        <s v="Prevádzkovanie OBU - spracovanie povelov zadaných vodičom cez HMI OBU (napr. nastavenie počtu náprav vozidla)"/>
        <s v="Prevádzkovanie OBU - odosielanie polohových dát do systému TC (Toll Declaration)"/>
        <s v="Prevádzkovanie OBU - sledovanie stavu vozidla a riadenie prevádzkového módu (Stand-by/prevádzka) OBU v závislosti na činnosti pohonnej jednotky vozidla"/>
        <s v="Prevádzkovanie OBU - sledovanie polohy vozidla a riadenie prevádzkového módu (Stand-by) OBU v závislosti na prekročení štátnej hranice"/>
        <s v="Prevádzkovanie OBU - sledovanie polohy vozidla a prechod zo Stand-by do prevádzkového módu OBU v závislosti na priblížení sa k štátnej hranici SR z vonkajšku"/>
        <s v="Prevádzkovanie OBU - sledovanie prevádzkových parametrov, vyhodnotenie porúch, chýb"/>
        <s v="Prevádzkovanie OBU - zabezpečenie výmeny nespoľahlivých/chybných OBU za bezchybné"/>
        <s v="Prevádzkovanie OBU - sledovanie štatistík prevádzky"/>
        <s v="Prevádzkovanie OBU - zabezpečenie dátových služieb GSM"/>
        <s v="Prevádzkovanie OBU - aktualizácia firmvéru/softvéru OTA"/>
        <s v="Prevádzkovanie OBU - správa prvkov zabezpečujúcich doveru elektronických transakcií "/>
        <s v="Prevádzkovanie OBU - kontrolná komunikácia s prostriedkami dohľadu prostredníctvom DSRC rozhrania podľa štandardu CCC trasakcií"/>
        <s v="Evidencia OBU vydaných zákazníkom a ich priradenia k EČV vozidla"/>
        <s v="Depersonalizácia a deaktivácia OBU odovzdaných zákazníkmi"/>
        <s v="Uzamknutie OBU"/>
        <s v="Odomknutie OBU"/>
        <s v="Deaktivácia SIM OBU po zablokovaniu OBU z dovodu trvalej nečinnosti"/>
        <s v="Deaktivácia SIM OBU po zablokovaniu OBU z dovodu jej straty, odcudzenia, zničenia"/>
        <s v="Zablokovanie OBU z dovodu trvalej nečinnosti (nevratné)"/>
        <s v="Zablokovanie OBU z dovodu jej straty, odcudzenia, zničenia (nevratné)"/>
        <s v="Vedenie kmeňových dát evidencie vozidiel"/>
        <s v="Vedenie mýtnych účtov vozidiel"/>
        <s v="Následná kontrola správnosti (lustrácia/scan ORV) registračných údajov vozidla"/>
        <s v="Úradná oprava správnosti registračných údajov vozidla"/>
        <s v="Vyčíslenie nárokov z titulu úradnej opravy registračných údajov vozidla"/>
        <s v="Vysporiadanie nárokov z titulu úradnej opravy registračných údajov vozidla"/>
        <s v="Spracovanie polohových dát vozidla a generovanie mýtnych transakcií"/>
        <s v="Kontrola správnosti a úplnosti mýtnych transakcií (súvislá trasa jazdy)"/>
        <s v="Dopočítanie chýbajúcich mýtnych transakcií"/>
        <s v="Kontrola vzniku/straty nároku na zľavu z mýta a priznanie zľavy"/>
        <s v="Vyčíslenie zľavy z mýta (nad mýtnou transakciou)"/>
        <s v="Odovzdávanie údajov z evidencie vozidiel a OBU/OBE kontrolnému systému"/>
        <s v="Registrácia vozidla oslobodeného od úhrady mýta (trvalé, dočasné, územne obmedzené oslobodenie)"/>
        <s v="Odobratie oslobodenia od úhrady mýta "/>
        <s v="Vyčíslenie finančných nárokov tretích strán (poskytovatelia mýtnych služieb, prevádzkovatelia cestnej infraštruktúry)"/>
        <s v="Vyčíslenie pohľadávok za tretími stranami (poskytovatelia mýtnych služieb, prevádzkovatelia cestnej infraštruktúry)"/>
        <s v="Overenie vhodnosti prvkov interoperability na použitie v EMS - I. OBU"/>
        <s v="Overenie vhodnosti prvkov interoperability na použitie v EMS - II. Rozhranie 12855"/>
        <s v="Správa prvkov zabezpečujúcich doveru elektronických transakcií "/>
        <s v="Zavedenie a aktivácia poskytovateľa mýtnych služieb (EETS)"/>
        <s v="Zber a vstupná kontrola polohových údajov od poskytovateľov mýtnych služieb (Toll Declaration)"/>
        <s v="Denné vyúčtovanie prejazdeného mýta a iných služieb v režime EETS (Payment Claim)"/>
        <s v="Deaktivácia poskytovateľa mýtnych služieb (EETS)"/>
        <s v="Registrácia vozidla a OBE v režime EETS"/>
        <s v="Zmena údajov registrácie vozidla a OBE v režime EETS"/>
        <s v="Zablokovanie OBE (black-listácia) na žiadosť poskytovateľa mýtnych služieb"/>
        <s v="Zablokovanie OBE (black-listácia) z podnetu TC"/>
        <s v="Zablokovanie poskytovateľa mýtnych služieb (všetky OBE)"/>
        <s v="Ukončenie registrácie vozidla a OBE v režime EETS"/>
        <s v="Registrácia vozidla v režime následného platenia mýta"/>
        <s v="Uzatvorenie Zmluvy o užívaní VÚC v režime následného platenia mýta"/>
        <s v="Poskytnutie OBU prevádzkovateľovi vozidla"/>
        <s v="Vedenie operatívnej evidencie o prijatých depozitoch za poskytnutú OBU"/>
        <s v="Vytvorenie požiadavky na zábezpeku za mýto"/>
        <s v="Prijatie, vstupná kontrola a schválenie zábezpeky za mýto"/>
        <s v="Zmena registračných údajov vozidla v režime následného platenia mýta"/>
        <s v="Zmena údajov Zmluvy o užívaní VÚC v režime následného platenia mýta"/>
        <s v="Zmena parametrov zábezpeky"/>
        <s v="Ukončenie registrácie vozidla v režime následného platenia mýta"/>
        <s v="Spätný odber OBU od prevádzkovateľa vozidla"/>
        <s v="Ukončenie Zmluvy o užívaní vymedzených úsekov ciest v režime následného platenia mýta"/>
        <s v="Prijatie oznámenia a riešenie problému s vyúčtovaním "/>
        <s v="Sledovanie vypršania platnosti zábezpeky a riešenie jej obnovy"/>
        <s v="Sledovanie dostatočnosti zábezpeky a riešenie jej zníženia / navýšenia"/>
        <s v="Poskytnutie výpisu mýtnych transakcií"/>
        <s v="Uzamknutie OBU (black-listácia) na žiadosť prevádzkovateľa vozidla"/>
        <s v="Uzamknutie OBU (black-listácia) na základe podozrenia zo spáchania mýtneho priestupku"/>
        <s v="Uzamknutie OBU (black-listácia) na základe neuhradeného mýtneho dlhu"/>
        <s v="Príjem a rozhodnutie o žiadosti o oslobodenie vozidla od úhrady mýta"/>
        <s v="Uzatvorenie Zmluvy o zmluve budúcej o poskytovaní mýtnych služieb (EETS)"/>
        <s v="Uzatvorenie Zmluvy o poskytovaní mýtnych služieb (EETS)"/>
        <s v="Prijatie, vstupná kontrola a schválenie zábezpeky za služby EETS"/>
        <s v="Upomienanie úhrady faktúr"/>
        <s v="Vysporiadanie pohľadávky zo zábezpeky za služby EETS"/>
        <s v="Zmena Zmluvy o poskytovaní mýtnych služieb (EETS)"/>
        <s v="Ukončenie Zmluvy o poskytovaní mýtnych služieb (EETS) a finančné vysporiadanie"/>
        <s v="Prijatie a riešenie ohláseného technického problému s poskytovateľom mýtnych služieb"/>
        <s v="Prijatie a riešenie podania vo veci vyúčtovania  s poskytovateľom mýtnych služieb"/>
        <s v="Periodická fakturácia prejazdeného mýta a iných služieb, vystavenie daňových dokladov"/>
        <s v="Príjem, párovanie a kontrola prijatých platieb"/>
        <s v="Vedenie účtovnej evidencie (mýto, zľavy, DPH, iné služby)"/>
        <s v="Vysporiadanie pohľadávky zo zábezpeky za mýto"/>
        <s v="Fakturácia / dobropisovanie pohľadávok / záväzkov tretích strán"/>
        <s v="Periodická fakturácia prejazdeného mýta a iných služieb v režime EETS, vystavenie daňových dokladov"/>
        <s v="Príjem, párovanie a kontrola prijatých platieb od Poskytovateľov mýtnych služieb (EETS)"/>
        <s v="Správa majetku (technológií EMS)"/>
        <s v="Riadenie kvality poskytovateľov mýtnych služieb / služieb EMS"/>
        <s v="Zber údajov do dátového skladu (DWH)"/>
        <s v="Spracovanie pravidelných tabuľkových a grafických výstupov z DWH"/>
        <s v="Distribúcia výstupov z DWH odberateľom dát"/>
        <s v="Správa oprávnení odberateľov dát z DWH"/>
        <s v="Vytváranie ad-hoc analýz nad dátami z DWH a sprístupnenie ich výsledkov"/>
        <s v="Správa kontextových údajov - mýtne sadzby, ich zložky a dane"/>
        <s v="Správa kontextových údajov - pravidlá vyrubenia mýta (časové a logické podmienky)"/>
        <s v="Správa kontextových údajov - mýtne úseky"/>
        <s v="Správa kontextových údajov - geomodel k mýtnym úsekom"/>
        <s v="Správa kontextových údajov - publikácia dát"/>
      </sharedItems>
    </cacheField>
    <cacheField name="Vykonávateľ" numFmtId="0">
      <sharedItems/>
    </cacheField>
    <cacheField name="Počet kanálov" numFmtId="0">
      <sharedItems containsSemiMixedTypes="0" containsString="0" containsNumber="1" containsInteger="1" minValue="0" maxValue="6"/>
    </cacheField>
    <cacheField name="Zložitosť" numFmtId="0">
      <sharedItems containsSemiMixedTypes="0" containsString="0" containsNumber="1" containsInteger="1" minValue="5" maxValue="15"/>
    </cacheField>
    <cacheField name="Počet UC" numFmtId="0">
      <sharedItems containsSemiMixedTypes="0" containsString="0" containsNumber="1" containsInteger="1" minValue="1" maxValue="6"/>
    </cacheField>
    <cacheField name="Výsledok" numFmtId="0">
      <sharedItems containsSemiMixedTypes="0" containsString="0" containsNumber="1" containsInteger="1" minValue="5" maxValue="6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77">
  <r>
    <x v="0"/>
    <s v="Zákaznícke služby"/>
    <x v="0"/>
    <x v="0"/>
    <s v="TSP"/>
    <n v="6"/>
    <n v="10"/>
    <n v="6"/>
    <n v="60"/>
  </r>
  <r>
    <x v="0"/>
    <s v="Zákaznícke služby"/>
    <x v="0"/>
    <x v="1"/>
    <s v="TSP"/>
    <n v="4"/>
    <n v="5"/>
    <n v="4"/>
    <n v="20"/>
  </r>
  <r>
    <x v="0"/>
    <s v="Zákaznícke služby"/>
    <x v="0"/>
    <x v="2"/>
    <s v="TSP"/>
    <n v="5"/>
    <n v="5"/>
    <n v="5"/>
    <n v="25"/>
  </r>
  <r>
    <x v="0"/>
    <s v="Zákaznícke služby"/>
    <x v="0"/>
    <x v="3"/>
    <s v="TSP"/>
    <n v="5"/>
    <n v="5"/>
    <n v="5"/>
    <n v="25"/>
  </r>
  <r>
    <x v="0"/>
    <s v="Zákaznícke služby"/>
    <x v="0"/>
    <x v="4"/>
    <s v="TSP"/>
    <n v="5"/>
    <n v="10"/>
    <n v="5"/>
    <n v="50"/>
  </r>
  <r>
    <x v="0"/>
    <s v="Zákaznícke služby"/>
    <x v="0"/>
    <x v="5"/>
    <s v="TSP"/>
    <n v="0"/>
    <n v="10"/>
    <n v="1"/>
    <n v="10"/>
  </r>
  <r>
    <x v="0"/>
    <s v="Zákaznícke služby"/>
    <x v="0"/>
    <x v="6"/>
    <s v="TSP"/>
    <n v="0"/>
    <n v="10"/>
    <n v="1"/>
    <n v="10"/>
  </r>
  <r>
    <x v="0"/>
    <s v="Zákaznícke služby"/>
    <x v="0"/>
    <x v="7"/>
    <s v="TSP"/>
    <n v="6"/>
    <n v="10"/>
    <n v="6"/>
    <n v="60"/>
  </r>
  <r>
    <x v="0"/>
    <s v="Zákaznícke služby"/>
    <x v="0"/>
    <x v="8"/>
    <s v="TSP"/>
    <n v="6"/>
    <n v="5"/>
    <n v="6"/>
    <n v="30"/>
  </r>
  <r>
    <x v="0"/>
    <s v="Zákaznícke služby"/>
    <x v="0"/>
    <x v="9"/>
    <s v="TSP"/>
    <n v="6"/>
    <n v="10"/>
    <n v="6"/>
    <n v="60"/>
  </r>
  <r>
    <x v="0"/>
    <s v="Zákaznícke služby"/>
    <x v="0"/>
    <x v="10"/>
    <s v="TSP"/>
    <n v="3"/>
    <n v="10"/>
    <n v="3"/>
    <n v="30"/>
  </r>
  <r>
    <x v="0"/>
    <s v="Zákaznícke služby"/>
    <x v="0"/>
    <x v="11"/>
    <s v="TSP"/>
    <n v="4"/>
    <n v="10"/>
    <n v="4"/>
    <n v="40"/>
  </r>
  <r>
    <x v="0"/>
    <s v="Zákaznícke služby"/>
    <x v="0"/>
    <x v="12"/>
    <s v="TSP"/>
    <n v="3"/>
    <n v="5"/>
    <n v="3"/>
    <n v="15"/>
  </r>
  <r>
    <x v="0"/>
    <s v="Zákaznícke služby"/>
    <x v="0"/>
    <x v="13"/>
    <s v="TSP"/>
    <n v="6"/>
    <n v="10"/>
    <n v="6"/>
    <n v="60"/>
  </r>
  <r>
    <x v="0"/>
    <s v="Zákaznícke služby"/>
    <x v="0"/>
    <x v="14"/>
    <s v="TSP"/>
    <n v="6"/>
    <n v="10"/>
    <n v="6"/>
    <n v="60"/>
  </r>
  <r>
    <x v="0"/>
    <s v="Zákaznícke služby"/>
    <x v="0"/>
    <x v="15"/>
    <s v="TSP"/>
    <n v="6"/>
    <n v="5"/>
    <n v="6"/>
    <n v="30"/>
  </r>
  <r>
    <x v="0"/>
    <s v="Zákaznícke služby"/>
    <x v="0"/>
    <x v="16"/>
    <s v="TSP"/>
    <n v="6"/>
    <n v="5"/>
    <n v="6"/>
    <n v="30"/>
  </r>
  <r>
    <x v="0"/>
    <s v="Zákaznícke služby"/>
    <x v="0"/>
    <x v="17"/>
    <s v="TSP"/>
    <n v="6"/>
    <n v="10"/>
    <n v="6"/>
    <n v="60"/>
  </r>
  <r>
    <x v="0"/>
    <s v="Zákaznícke služby"/>
    <x v="0"/>
    <x v="18"/>
    <s v="TSP"/>
    <n v="0"/>
    <n v="5"/>
    <n v="1"/>
    <n v="5"/>
  </r>
  <r>
    <x v="0"/>
    <s v="Zákaznícke služby"/>
    <x v="0"/>
    <x v="19"/>
    <s v="TSP"/>
    <n v="0"/>
    <n v="10"/>
    <n v="1"/>
    <n v="10"/>
  </r>
  <r>
    <x v="0"/>
    <s v="Zákaznícke služby"/>
    <x v="0"/>
    <x v="20"/>
    <s v="TSP"/>
    <n v="0"/>
    <n v="10"/>
    <n v="1"/>
    <n v="10"/>
  </r>
  <r>
    <x v="0"/>
    <s v="Zákaznícke služby"/>
    <x v="0"/>
    <x v="21"/>
    <s v="TSP"/>
    <n v="0"/>
    <n v="10"/>
    <n v="1"/>
    <n v="10"/>
  </r>
  <r>
    <x v="0"/>
    <s v="Zákaznícke služby"/>
    <x v="0"/>
    <x v="22"/>
    <s v="TSP"/>
    <n v="0"/>
    <n v="10"/>
    <n v="1"/>
    <n v="10"/>
  </r>
  <r>
    <x v="0"/>
    <s v="Zákaznícke služby"/>
    <x v="0"/>
    <x v="23"/>
    <s v="TSP"/>
    <n v="0"/>
    <n v="10"/>
    <n v="1"/>
    <n v="10"/>
  </r>
  <r>
    <x v="0"/>
    <s v="Zákaznícke služby"/>
    <x v="0"/>
    <x v="24"/>
    <s v="TSP"/>
    <n v="0"/>
    <n v="5"/>
    <n v="1"/>
    <n v="5"/>
  </r>
  <r>
    <x v="0"/>
    <s v="Zákaznícke služby"/>
    <x v="0"/>
    <x v="25"/>
    <s v="TSP"/>
    <n v="0"/>
    <n v="5"/>
    <n v="1"/>
    <n v="5"/>
  </r>
  <r>
    <x v="0"/>
    <s v="Zákaznícke služby"/>
    <x v="0"/>
    <x v="26"/>
    <s v="TSP"/>
    <n v="0"/>
    <n v="10"/>
    <n v="1"/>
    <n v="10"/>
  </r>
  <r>
    <x v="0"/>
    <s v="Zákaznícke služby"/>
    <x v="0"/>
    <x v="27"/>
    <s v="TSP"/>
    <n v="0"/>
    <n v="10"/>
    <n v="1"/>
    <n v="10"/>
  </r>
  <r>
    <x v="0"/>
    <s v="Zákaznícke služby"/>
    <x v="0"/>
    <x v="28"/>
    <s v="TSP"/>
    <n v="0"/>
    <n v="10"/>
    <n v="1"/>
    <n v="10"/>
  </r>
  <r>
    <x v="0"/>
    <s v="Zákaznícke služby"/>
    <x v="0"/>
    <x v="29"/>
    <s v="TSP"/>
    <n v="0"/>
    <n v="10"/>
    <n v="1"/>
    <n v="10"/>
  </r>
  <r>
    <x v="0"/>
    <s v="Podporné služby"/>
    <x v="1"/>
    <x v="30"/>
    <s v="TSP"/>
    <n v="0"/>
    <n v="10"/>
    <n v="1"/>
    <n v="10"/>
  </r>
  <r>
    <x v="0"/>
    <s v="Podporné služby"/>
    <x v="1"/>
    <x v="31"/>
    <s v="TSP"/>
    <n v="0"/>
    <n v="10"/>
    <n v="1"/>
    <n v="10"/>
  </r>
  <r>
    <x v="0"/>
    <s v="Podporné služby"/>
    <x v="1"/>
    <x v="21"/>
    <s v="TSP"/>
    <n v="0"/>
    <n v="10"/>
    <n v="1"/>
    <n v="10"/>
  </r>
  <r>
    <x v="0"/>
    <s v="Podporné služby"/>
    <x v="1"/>
    <x v="22"/>
    <s v="TSP"/>
    <n v="0"/>
    <n v="10"/>
    <n v="1"/>
    <n v="10"/>
  </r>
  <r>
    <x v="0"/>
    <s v="Podporné služby"/>
    <x v="1"/>
    <x v="23"/>
    <s v="TSP"/>
    <n v="0"/>
    <n v="10"/>
    <n v="1"/>
    <n v="10"/>
  </r>
  <r>
    <x v="0"/>
    <s v="Podporné služby"/>
    <x v="1"/>
    <x v="24"/>
    <s v="TSP"/>
    <n v="0"/>
    <n v="5"/>
    <n v="1"/>
    <n v="5"/>
  </r>
  <r>
    <x v="0"/>
    <s v="Podporné služby"/>
    <x v="2"/>
    <x v="32"/>
    <s v="TSP"/>
    <n v="0"/>
    <n v="15"/>
    <n v="1"/>
    <n v="15"/>
  </r>
  <r>
    <x v="0"/>
    <s v="Podporné služby"/>
    <x v="2"/>
    <x v="33"/>
    <s v="TSP"/>
    <n v="0"/>
    <n v="15"/>
    <n v="1"/>
    <n v="15"/>
  </r>
  <r>
    <x v="1"/>
    <s v="Riadenie logistiky"/>
    <x v="3"/>
    <x v="34"/>
    <s v="OBU"/>
    <n v="0"/>
    <n v="5"/>
    <n v="1"/>
    <n v="5"/>
  </r>
  <r>
    <x v="1"/>
    <s v="Riadenie logistiky"/>
    <x v="3"/>
    <x v="35"/>
    <s v="OBU"/>
    <n v="0"/>
    <n v="10"/>
    <n v="1"/>
    <n v="10"/>
  </r>
  <r>
    <x v="1"/>
    <s v="Riadenie logistiky"/>
    <x v="3"/>
    <x v="36"/>
    <s v="OBU"/>
    <n v="0"/>
    <n v="5"/>
    <n v="1"/>
    <n v="5"/>
  </r>
  <r>
    <x v="1"/>
    <s v="Riadenie logistiky"/>
    <x v="3"/>
    <x v="37"/>
    <s v="OBU"/>
    <n v="0"/>
    <n v="10"/>
    <n v="1"/>
    <n v="10"/>
  </r>
  <r>
    <x v="1"/>
    <s v="Riadenie logistiky"/>
    <x v="3"/>
    <x v="38"/>
    <s v="OBU"/>
    <n v="0"/>
    <n v="10"/>
    <n v="1"/>
    <n v="10"/>
  </r>
  <r>
    <x v="1"/>
    <s v="Riadenie logistiky"/>
    <x v="3"/>
    <x v="39"/>
    <s v="OBU"/>
    <n v="0"/>
    <n v="10"/>
    <n v="1"/>
    <n v="10"/>
  </r>
  <r>
    <x v="1"/>
    <s v="Riadenie logistiky"/>
    <x v="3"/>
    <x v="40"/>
    <s v="OBU"/>
    <n v="0"/>
    <n v="10"/>
    <n v="1"/>
    <n v="10"/>
  </r>
  <r>
    <x v="1"/>
    <s v="Riadenie logistiky"/>
    <x v="3"/>
    <x v="41"/>
    <s v="OBU"/>
    <n v="0"/>
    <n v="5"/>
    <n v="1"/>
    <n v="5"/>
  </r>
  <r>
    <x v="1"/>
    <s v="Riadenie logistiky"/>
    <x v="3"/>
    <x v="42"/>
    <s v="OBU"/>
    <n v="0"/>
    <n v="10"/>
    <n v="1"/>
    <n v="10"/>
  </r>
  <r>
    <x v="1"/>
    <s v="Riadenie logistiky"/>
    <x v="3"/>
    <x v="43"/>
    <s v="OBU"/>
    <n v="0"/>
    <n v="15"/>
    <n v="1"/>
    <n v="15"/>
  </r>
  <r>
    <x v="1"/>
    <s v="Riadenie logistiky"/>
    <x v="3"/>
    <x v="44"/>
    <s v="OBU"/>
    <n v="0"/>
    <n v="10"/>
    <n v="1"/>
    <n v="10"/>
  </r>
  <r>
    <x v="1"/>
    <s v="Riadenie logistiky"/>
    <x v="3"/>
    <x v="45"/>
    <s v="OBU"/>
    <n v="0"/>
    <n v="10"/>
    <n v="1"/>
    <n v="10"/>
  </r>
  <r>
    <x v="1"/>
    <s v="Výmena dát"/>
    <x v="4"/>
    <x v="46"/>
    <s v="OBU"/>
    <n v="0"/>
    <n v="10"/>
    <n v="1"/>
    <n v="10"/>
  </r>
  <r>
    <x v="1"/>
    <s v="Výmena dát"/>
    <x v="4"/>
    <x v="47"/>
    <s v="OBU"/>
    <n v="0"/>
    <n v="10"/>
    <n v="1"/>
    <n v="10"/>
  </r>
  <r>
    <x v="1"/>
    <s v="Výmena dát"/>
    <x v="4"/>
    <x v="48"/>
    <s v="OBU"/>
    <n v="0"/>
    <n v="10"/>
    <n v="1"/>
    <n v="10"/>
  </r>
  <r>
    <x v="1"/>
    <s v="Výmena dát"/>
    <x v="4"/>
    <x v="49"/>
    <s v="OBU"/>
    <n v="0"/>
    <n v="10"/>
    <n v="1"/>
    <n v="10"/>
  </r>
  <r>
    <x v="1"/>
    <s v="Výmena dát"/>
    <x v="4"/>
    <x v="50"/>
    <s v="OBU"/>
    <n v="0"/>
    <n v="10"/>
    <n v="1"/>
    <n v="10"/>
  </r>
  <r>
    <x v="1"/>
    <s v="Výmena dát"/>
    <x v="4"/>
    <x v="51"/>
    <s v="OBU"/>
    <n v="0"/>
    <n v="10"/>
    <n v="1"/>
    <n v="10"/>
  </r>
  <r>
    <x v="1"/>
    <s v="Výmena dát"/>
    <x v="4"/>
    <x v="52"/>
    <s v="OBU"/>
    <n v="0"/>
    <n v="10"/>
    <n v="1"/>
    <n v="10"/>
  </r>
  <r>
    <x v="1"/>
    <s v="Výmena dát"/>
    <x v="4"/>
    <x v="53"/>
    <s v="OBU"/>
    <n v="0"/>
    <n v="10"/>
    <n v="1"/>
    <n v="10"/>
  </r>
  <r>
    <x v="1"/>
    <s v="Výmena dát"/>
    <x v="4"/>
    <x v="54"/>
    <s v="OBU"/>
    <n v="0"/>
    <n v="10"/>
    <n v="1"/>
    <n v="10"/>
  </r>
  <r>
    <x v="1"/>
    <s v="Výmena dát"/>
    <x v="4"/>
    <x v="55"/>
    <s v="OBU"/>
    <n v="0"/>
    <n v="10"/>
    <n v="1"/>
    <n v="10"/>
  </r>
  <r>
    <x v="1"/>
    <s v="Výmena dát"/>
    <x v="4"/>
    <x v="56"/>
    <s v="OBU"/>
    <n v="0"/>
    <n v="10"/>
    <n v="1"/>
    <n v="10"/>
  </r>
  <r>
    <x v="1"/>
    <s v="Výmena dát"/>
    <x v="4"/>
    <x v="57"/>
    <s v="OBU"/>
    <n v="0"/>
    <n v="10"/>
    <n v="1"/>
    <n v="10"/>
  </r>
  <r>
    <x v="1"/>
    <s v="Výmena dát"/>
    <x v="4"/>
    <x v="58"/>
    <s v="OBU"/>
    <n v="0"/>
    <n v="10"/>
    <n v="1"/>
    <n v="10"/>
  </r>
  <r>
    <x v="1"/>
    <s v="Výmena dát"/>
    <x v="4"/>
    <x v="59"/>
    <s v="OBU"/>
    <n v="0"/>
    <n v="10"/>
    <n v="1"/>
    <n v="10"/>
  </r>
  <r>
    <x v="1"/>
    <s v="Výmena dát"/>
    <x v="4"/>
    <x v="60"/>
    <s v="OBU"/>
    <n v="0"/>
    <n v="10"/>
    <n v="1"/>
    <n v="10"/>
  </r>
  <r>
    <x v="1"/>
    <s v="Výmena dát"/>
    <x v="4"/>
    <x v="61"/>
    <s v="OBU"/>
    <n v="0"/>
    <n v="5"/>
    <n v="1"/>
    <n v="5"/>
  </r>
  <r>
    <x v="1"/>
    <s v="Výmena dát"/>
    <x v="4"/>
    <x v="62"/>
    <s v="OBU"/>
    <n v="0"/>
    <n v="15"/>
    <n v="1"/>
    <n v="15"/>
  </r>
  <r>
    <x v="1"/>
    <s v="Výmena dát"/>
    <x v="4"/>
    <x v="63"/>
    <s v="OBU"/>
    <n v="0"/>
    <n v="10"/>
    <n v="1"/>
    <n v="10"/>
  </r>
  <r>
    <x v="1"/>
    <s v="Výmena dát"/>
    <x v="4"/>
    <x v="64"/>
    <s v="OBU"/>
    <n v="0"/>
    <n v="5"/>
    <n v="1"/>
    <n v="5"/>
  </r>
  <r>
    <x v="1"/>
    <s v="Výmena dát"/>
    <x v="4"/>
    <x v="65"/>
    <s v="OBU"/>
    <n v="0"/>
    <n v="10"/>
    <n v="1"/>
    <n v="10"/>
  </r>
  <r>
    <x v="1"/>
    <s v="Výmena dát"/>
    <x v="4"/>
    <x v="66"/>
    <s v="OBU"/>
    <n v="0"/>
    <n v="10"/>
    <n v="1"/>
    <n v="10"/>
  </r>
  <r>
    <x v="2"/>
    <s v="Evidencia _x000a_a vyrubenie mýta"/>
    <x v="5"/>
    <x v="67"/>
    <s v="TC"/>
    <n v="0"/>
    <n v="10"/>
    <n v="1"/>
    <n v="10"/>
  </r>
  <r>
    <x v="2"/>
    <s v="Evidencia _x000a_a vyrubenie mýta"/>
    <x v="5"/>
    <x v="68"/>
    <s v="TC"/>
    <n v="0"/>
    <n v="10"/>
    <n v="1"/>
    <n v="10"/>
  </r>
  <r>
    <x v="2"/>
    <s v="Evidencia _x000a_a vyrubenie mýta"/>
    <x v="5"/>
    <x v="69"/>
    <s v="TC"/>
    <n v="0"/>
    <n v="5"/>
    <n v="1"/>
    <n v="5"/>
  </r>
  <r>
    <x v="2"/>
    <s v="Evidencia _x000a_a vyrubenie mýta"/>
    <x v="5"/>
    <x v="70"/>
    <s v="TC"/>
    <n v="0"/>
    <n v="15"/>
    <n v="1"/>
    <n v="15"/>
  </r>
  <r>
    <x v="2"/>
    <s v="Evidencia _x000a_a vyrubenie mýta"/>
    <x v="5"/>
    <x v="71"/>
    <s v="TC"/>
    <n v="0"/>
    <n v="5"/>
    <n v="1"/>
    <n v="5"/>
  </r>
  <r>
    <x v="2"/>
    <s v="Evidencia _x000a_a vyrubenie mýta"/>
    <x v="5"/>
    <x v="72"/>
    <s v="TC"/>
    <n v="0"/>
    <n v="5"/>
    <n v="1"/>
    <n v="5"/>
  </r>
  <r>
    <x v="2"/>
    <s v="Evidencia _x000a_a vyrubenie mýta"/>
    <x v="5"/>
    <x v="73"/>
    <s v="TC"/>
    <n v="0"/>
    <n v="15"/>
    <n v="1"/>
    <n v="15"/>
  </r>
  <r>
    <x v="2"/>
    <s v="Evidencia _x000a_a vyrubenie mýta"/>
    <x v="5"/>
    <x v="74"/>
    <s v="TC"/>
    <n v="4"/>
    <n v="10"/>
    <n v="4"/>
    <n v="40"/>
  </r>
  <r>
    <x v="2"/>
    <s v="Evidencia _x000a_a vyrubenie mýta"/>
    <x v="5"/>
    <x v="75"/>
    <s v="TC"/>
    <n v="0"/>
    <n v="15"/>
    <n v="1"/>
    <n v="15"/>
  </r>
  <r>
    <x v="2"/>
    <s v="Evidencia _x000a_a vyrubenie mýta"/>
    <x v="5"/>
    <x v="76"/>
    <s v="TC"/>
    <n v="0"/>
    <n v="15"/>
    <n v="1"/>
    <n v="15"/>
  </r>
  <r>
    <x v="2"/>
    <s v="Evidencia _x000a_a vyrubenie mýta"/>
    <x v="5"/>
    <x v="77"/>
    <s v="TC"/>
    <n v="0"/>
    <n v="15"/>
    <n v="1"/>
    <n v="15"/>
  </r>
  <r>
    <x v="2"/>
    <s v="Evidencia _x000a_a vyrubenie mýta"/>
    <x v="5"/>
    <x v="78"/>
    <s v="TC"/>
    <n v="0"/>
    <n v="15"/>
    <n v="1"/>
    <n v="15"/>
  </r>
  <r>
    <x v="2"/>
    <s v="Evidencia _x000a_a vyrubenie mýta"/>
    <x v="5"/>
    <x v="79"/>
    <s v="TC"/>
    <n v="0"/>
    <n v="15"/>
    <n v="1"/>
    <n v="15"/>
  </r>
  <r>
    <x v="2"/>
    <s v="Evidencia _x000a_a vyrubenie mýta"/>
    <x v="5"/>
    <x v="80"/>
    <s v="TC"/>
    <n v="0"/>
    <n v="10"/>
    <n v="1"/>
    <n v="10"/>
  </r>
  <r>
    <x v="2"/>
    <s v="Evidencia _x000a_a vyrubenie mýta"/>
    <x v="5"/>
    <x v="81"/>
    <s v="TC"/>
    <n v="0"/>
    <n v="10"/>
    <n v="1"/>
    <n v="10"/>
  </r>
  <r>
    <x v="2"/>
    <s v="Evidencia _x000a_a vyrubenie mýta"/>
    <x v="5"/>
    <x v="82"/>
    <s v="TC"/>
    <n v="4"/>
    <n v="10"/>
    <n v="4"/>
    <n v="40"/>
  </r>
  <r>
    <x v="2"/>
    <s v="Evidencia _x000a_a vyrubenie mýta"/>
    <x v="5"/>
    <x v="83"/>
    <s v="TC"/>
    <n v="0"/>
    <n v="15"/>
    <n v="1"/>
    <n v="15"/>
  </r>
  <r>
    <x v="2"/>
    <s v="Evidencia _x000a_a vyrubenie mýta"/>
    <x v="5"/>
    <x v="84"/>
    <s v="TC"/>
    <n v="0"/>
    <n v="15"/>
    <n v="1"/>
    <n v="15"/>
  </r>
  <r>
    <x v="2"/>
    <s v="Evidencia _x000a_a vyrubenie mýta"/>
    <x v="5"/>
    <x v="85"/>
    <s v="TC"/>
    <n v="0"/>
    <n v="5"/>
    <n v="1"/>
    <n v="5"/>
  </r>
  <r>
    <x v="2"/>
    <s v="Evidencia _x000a_a vyrubenie mýta"/>
    <x v="5"/>
    <x v="86"/>
    <s v="TC"/>
    <n v="0"/>
    <n v="5"/>
    <n v="1"/>
    <n v="5"/>
  </r>
  <r>
    <x v="2"/>
    <s v="Evidencia _x000a_a vyrubenie mýta"/>
    <x v="5"/>
    <x v="87"/>
    <s v="TC"/>
    <n v="1"/>
    <n v="15"/>
    <n v="1"/>
    <n v="15"/>
  </r>
  <r>
    <x v="2"/>
    <s v="Evidencia _x000a_a vyrubenie mýta"/>
    <x v="5"/>
    <x v="88"/>
    <s v="TC"/>
    <n v="0"/>
    <n v="10"/>
    <n v="1"/>
    <n v="10"/>
  </r>
  <r>
    <x v="2"/>
    <s v="Evidencia _x000a_a vyrubenie mýta"/>
    <x v="5"/>
    <x v="89"/>
    <s v="TC"/>
    <n v="0"/>
    <n v="15"/>
    <n v="1"/>
    <n v="15"/>
  </r>
  <r>
    <x v="2"/>
    <s v="Evidencia _x000a_a vyrubenie mýta"/>
    <x v="5"/>
    <x v="90"/>
    <s v="TC"/>
    <n v="0"/>
    <n v="10"/>
    <n v="1"/>
    <n v="10"/>
  </r>
  <r>
    <x v="2"/>
    <s v="Evidencia _x000a_a vyrubenie mýta"/>
    <x v="5"/>
    <x v="91"/>
    <s v="TC"/>
    <n v="0"/>
    <n v="10"/>
    <n v="1"/>
    <n v="10"/>
  </r>
  <r>
    <x v="2"/>
    <s v="Evidencia _x000a_a vyrubenie mýta"/>
    <x v="5"/>
    <x v="92"/>
    <s v="TC"/>
    <n v="0"/>
    <n v="10"/>
    <n v="1"/>
    <n v="10"/>
  </r>
  <r>
    <x v="2"/>
    <s v="Evidencia _x000a_a vyrubenie mýta"/>
    <x v="5"/>
    <x v="93"/>
    <s v="TC"/>
    <n v="0"/>
    <n v="10"/>
    <n v="1"/>
    <n v="10"/>
  </r>
  <r>
    <x v="2"/>
    <s v="Evidencia _x000a_a vyrubenie mýta"/>
    <x v="5"/>
    <x v="94"/>
    <s v="TC"/>
    <n v="4"/>
    <n v="10"/>
    <n v="4"/>
    <n v="40"/>
  </r>
  <r>
    <x v="2"/>
    <s v="Evidencia _x000a_a vyrubenie mýta"/>
    <x v="5"/>
    <x v="95"/>
    <s v="TC"/>
    <n v="0"/>
    <n v="10"/>
    <n v="1"/>
    <n v="10"/>
  </r>
  <r>
    <x v="2"/>
    <s v="Evidencia _x000a_a vyrubenie mýta"/>
    <x v="5"/>
    <x v="96"/>
    <s v="TC"/>
    <n v="0"/>
    <n v="10"/>
    <n v="1"/>
    <n v="10"/>
  </r>
  <r>
    <x v="2"/>
    <s v="Evidencia _x000a_a vyrubenie mýta"/>
    <x v="5"/>
    <x v="97"/>
    <s v="TC"/>
    <n v="4"/>
    <n v="10"/>
    <n v="4"/>
    <n v="40"/>
  </r>
  <r>
    <x v="2"/>
    <s v="Zákaznícke služby"/>
    <x v="0"/>
    <x v="98"/>
    <s v="TC"/>
    <n v="0"/>
    <n v="10"/>
    <n v="1"/>
    <n v="10"/>
  </r>
  <r>
    <x v="2"/>
    <s v="Zákaznícke služby"/>
    <x v="0"/>
    <x v="99"/>
    <s v="TC"/>
    <n v="1"/>
    <n v="5"/>
    <n v="1"/>
    <n v="5"/>
  </r>
  <r>
    <x v="2"/>
    <s v="Zákaznícke služby"/>
    <x v="0"/>
    <x v="100"/>
    <s v="TC"/>
    <n v="2"/>
    <n v="5"/>
    <n v="2"/>
    <n v="10"/>
  </r>
  <r>
    <x v="2"/>
    <s v="Zákaznícke služby"/>
    <x v="0"/>
    <x v="3"/>
    <s v="TC"/>
    <n v="1"/>
    <n v="5"/>
    <n v="1"/>
    <n v="5"/>
  </r>
  <r>
    <x v="2"/>
    <s v="Zákaznícke služby"/>
    <x v="0"/>
    <x v="101"/>
    <s v="TC"/>
    <n v="0"/>
    <n v="10"/>
    <n v="1"/>
    <n v="10"/>
  </r>
  <r>
    <x v="2"/>
    <s v="Zákaznícke služby"/>
    <x v="0"/>
    <x v="102"/>
    <s v="TC"/>
    <n v="1"/>
    <n v="5"/>
    <n v="1"/>
    <n v="5"/>
  </r>
  <r>
    <x v="2"/>
    <s v="Zákaznícke služby"/>
    <x v="0"/>
    <x v="103"/>
    <s v="TC"/>
    <n v="1"/>
    <n v="10"/>
    <n v="1"/>
    <n v="10"/>
  </r>
  <r>
    <x v="2"/>
    <s v="Zákaznícke služby"/>
    <x v="0"/>
    <x v="104"/>
    <s v="TC"/>
    <n v="1"/>
    <n v="5"/>
    <n v="1"/>
    <n v="5"/>
  </r>
  <r>
    <x v="2"/>
    <s v="Zákaznícke služby"/>
    <x v="0"/>
    <x v="105"/>
    <s v="TC"/>
    <n v="1"/>
    <n v="10"/>
    <n v="1"/>
    <n v="10"/>
  </r>
  <r>
    <x v="2"/>
    <s v="Zákaznícke služby"/>
    <x v="0"/>
    <x v="106"/>
    <s v="TC"/>
    <n v="1"/>
    <n v="10"/>
    <n v="1"/>
    <n v="10"/>
  </r>
  <r>
    <x v="2"/>
    <s v="Zákaznícke služby"/>
    <x v="0"/>
    <x v="107"/>
    <s v="TC"/>
    <n v="1"/>
    <n v="10"/>
    <n v="1"/>
    <n v="10"/>
  </r>
  <r>
    <x v="2"/>
    <s v="Zákaznícke služby"/>
    <x v="0"/>
    <x v="108"/>
    <s v="TC"/>
    <n v="2"/>
    <n v="5"/>
    <n v="2"/>
    <n v="10"/>
  </r>
  <r>
    <x v="2"/>
    <s v="Zákaznícke služby"/>
    <x v="0"/>
    <x v="13"/>
    <s v="TC"/>
    <n v="1"/>
    <n v="10"/>
    <n v="1"/>
    <n v="10"/>
  </r>
  <r>
    <x v="2"/>
    <s v="Zákaznícke služby"/>
    <x v="0"/>
    <x v="109"/>
    <s v="TC"/>
    <n v="1"/>
    <n v="10"/>
    <n v="1"/>
    <n v="10"/>
  </r>
  <r>
    <x v="2"/>
    <s v="Zákaznícke služby"/>
    <x v="0"/>
    <x v="15"/>
    <s v="TC"/>
    <n v="5"/>
    <n v="5"/>
    <n v="5"/>
    <n v="25"/>
  </r>
  <r>
    <x v="2"/>
    <s v="Zákaznícke služby"/>
    <x v="0"/>
    <x v="110"/>
    <s v="TC"/>
    <n v="4"/>
    <n v="5"/>
    <n v="4"/>
    <n v="20"/>
  </r>
  <r>
    <x v="2"/>
    <s v="Zákaznícke služby"/>
    <x v="0"/>
    <x v="17"/>
    <s v="TC"/>
    <n v="4"/>
    <n v="10"/>
    <n v="4"/>
    <n v="40"/>
  </r>
  <r>
    <x v="2"/>
    <s v="Zákaznícke služby"/>
    <x v="0"/>
    <x v="18"/>
    <s v="TC"/>
    <n v="4"/>
    <n v="5"/>
    <n v="4"/>
    <n v="20"/>
  </r>
  <r>
    <x v="2"/>
    <s v="Zákaznícke služby"/>
    <x v="0"/>
    <x v="111"/>
    <s v="TC"/>
    <n v="1"/>
    <n v="15"/>
    <n v="1"/>
    <n v="15"/>
  </r>
  <r>
    <x v="2"/>
    <s v="Zákaznícke služby"/>
    <x v="0"/>
    <x v="112"/>
    <s v="TC"/>
    <n v="4"/>
    <n v="15"/>
    <n v="4"/>
    <n v="60"/>
  </r>
  <r>
    <x v="2"/>
    <s v="Zákaznícke služby"/>
    <x v="0"/>
    <x v="113"/>
    <s v="TC"/>
    <n v="4"/>
    <n v="5"/>
    <n v="4"/>
    <n v="20"/>
  </r>
  <r>
    <x v="2"/>
    <s v="Zákaznícke služby"/>
    <x v="0"/>
    <x v="114"/>
    <s v="TC"/>
    <n v="4"/>
    <n v="10"/>
    <n v="4"/>
    <n v="40"/>
  </r>
  <r>
    <x v="2"/>
    <s v="Zákaznícke služby"/>
    <x v="0"/>
    <x v="115"/>
    <s v="TC"/>
    <n v="0"/>
    <n v="10"/>
    <n v="1"/>
    <n v="10"/>
  </r>
  <r>
    <x v="2"/>
    <s v="Zákaznícke služby"/>
    <x v="0"/>
    <x v="116"/>
    <s v="TC"/>
    <n v="0"/>
    <n v="10"/>
    <n v="1"/>
    <n v="10"/>
  </r>
  <r>
    <x v="2"/>
    <s v="Zákaznícke služby"/>
    <x v="0"/>
    <x v="71"/>
    <s v="TC"/>
    <n v="0"/>
    <n v="5"/>
    <n v="1"/>
    <n v="5"/>
  </r>
  <r>
    <x v="2"/>
    <s v="Zákaznícke služby"/>
    <x v="0"/>
    <x v="72"/>
    <s v="TC"/>
    <n v="0"/>
    <n v="5"/>
    <n v="1"/>
    <n v="5"/>
  </r>
  <r>
    <x v="2"/>
    <s v="Zákaznícke služby"/>
    <x v="0"/>
    <x v="74"/>
    <s v="TC"/>
    <n v="4"/>
    <n v="10"/>
    <n v="4"/>
    <n v="40"/>
  </r>
  <r>
    <x v="2"/>
    <s v="Zákaznícke služby"/>
    <x v="0"/>
    <x v="117"/>
    <s v="TC"/>
    <n v="4"/>
    <n v="5"/>
    <n v="4"/>
    <n v="20"/>
  </r>
  <r>
    <x v="2"/>
    <s v="Zákaznícke služby"/>
    <x v="0"/>
    <x v="82"/>
    <s v="TC"/>
    <n v="4"/>
    <n v="10"/>
    <n v="4"/>
    <n v="40"/>
  </r>
  <r>
    <x v="2"/>
    <s v="Zákaznícke služby"/>
    <x v="0"/>
    <x v="118"/>
    <s v="TC"/>
    <n v="2"/>
    <n v="5"/>
    <n v="2"/>
    <n v="10"/>
  </r>
  <r>
    <x v="2"/>
    <s v="Zákaznícke služby"/>
    <x v="0"/>
    <x v="85"/>
    <s v="TC"/>
    <n v="0"/>
    <n v="5"/>
    <n v="1"/>
    <n v="5"/>
  </r>
  <r>
    <x v="2"/>
    <s v="Zákaznícke služby"/>
    <x v="0"/>
    <x v="86"/>
    <s v="TC"/>
    <n v="0"/>
    <n v="5"/>
    <n v="1"/>
    <n v="5"/>
  </r>
  <r>
    <x v="2"/>
    <s v="Zákaznícke služby"/>
    <x v="0"/>
    <x v="119"/>
    <s v="TC"/>
    <n v="1"/>
    <n v="5"/>
    <n v="1"/>
    <n v="5"/>
  </r>
  <r>
    <x v="2"/>
    <s v="Zákaznícke služby"/>
    <x v="0"/>
    <x v="120"/>
    <s v="TC"/>
    <n v="1"/>
    <n v="10"/>
    <n v="1"/>
    <n v="10"/>
  </r>
  <r>
    <x v="2"/>
    <s v="Zákaznícke služby"/>
    <x v="0"/>
    <x v="121"/>
    <s v="TC"/>
    <n v="4"/>
    <n v="10"/>
    <n v="4"/>
    <n v="40"/>
  </r>
  <r>
    <x v="2"/>
    <s v="Zákaznícke služby"/>
    <x v="0"/>
    <x v="122"/>
    <s v="TC"/>
    <n v="0"/>
    <n v="10"/>
    <n v="1"/>
    <n v="10"/>
  </r>
  <r>
    <x v="2"/>
    <s v="Zákaznícke služby"/>
    <x v="0"/>
    <x v="23"/>
    <s v="TC"/>
    <n v="4"/>
    <n v="10"/>
    <n v="4"/>
    <n v="40"/>
  </r>
  <r>
    <x v="2"/>
    <s v="Zákaznícke služby"/>
    <x v="0"/>
    <x v="111"/>
    <s v="TC"/>
    <n v="0"/>
    <n v="15"/>
    <n v="1"/>
    <n v="15"/>
  </r>
  <r>
    <x v="2"/>
    <s v="Zákaznícke služby"/>
    <x v="0"/>
    <x v="112"/>
    <s v="TC"/>
    <n v="0"/>
    <n v="15"/>
    <n v="1"/>
    <n v="15"/>
  </r>
  <r>
    <x v="2"/>
    <s v="Zákaznícke služby"/>
    <x v="0"/>
    <x v="123"/>
    <s v="TC"/>
    <n v="0"/>
    <n v="5"/>
    <n v="1"/>
    <n v="5"/>
  </r>
  <r>
    <x v="2"/>
    <s v="Zákaznícke služby"/>
    <x v="0"/>
    <x v="106"/>
    <s v="TC"/>
    <n v="4"/>
    <n v="10"/>
    <n v="4"/>
    <n v="40"/>
  </r>
  <r>
    <x v="2"/>
    <s v="Zákaznícke služby"/>
    <x v="0"/>
    <x v="124"/>
    <s v="TC"/>
    <n v="4"/>
    <n v="10"/>
    <n v="4"/>
    <n v="40"/>
  </r>
  <r>
    <x v="2"/>
    <s v="Zákaznícke služby"/>
    <x v="0"/>
    <x v="94"/>
    <s v="TC"/>
    <n v="4"/>
    <n v="10"/>
    <n v="4"/>
    <n v="40"/>
  </r>
  <r>
    <x v="2"/>
    <s v="Zákaznícke služby"/>
    <x v="0"/>
    <x v="97"/>
    <s v="TC"/>
    <n v="4"/>
    <n v="10"/>
    <n v="4"/>
    <n v="40"/>
  </r>
  <r>
    <x v="2"/>
    <s v="Zákaznícke služby"/>
    <x v="0"/>
    <x v="125"/>
    <s v="TC"/>
    <n v="4"/>
    <n v="10"/>
    <n v="4"/>
    <n v="40"/>
  </r>
  <r>
    <x v="2"/>
    <s v="Zákaznícke služby"/>
    <x v="0"/>
    <x v="126"/>
    <s v="TC"/>
    <n v="4"/>
    <n v="10"/>
    <n v="4"/>
    <n v="40"/>
  </r>
  <r>
    <x v="2"/>
    <s v="Podporné služby"/>
    <x v="1"/>
    <x v="127"/>
    <s v="TC"/>
    <n v="0"/>
    <n v="15"/>
    <n v="1"/>
    <n v="15"/>
  </r>
  <r>
    <x v="2"/>
    <s v="Podporné služby"/>
    <x v="1"/>
    <x v="128"/>
    <s v="TC"/>
    <n v="0"/>
    <n v="10"/>
    <n v="1"/>
    <n v="10"/>
  </r>
  <r>
    <x v="2"/>
    <s v="Podporné služby"/>
    <x v="1"/>
    <x v="129"/>
    <s v="TC"/>
    <n v="0"/>
    <n v="10"/>
    <n v="1"/>
    <n v="10"/>
  </r>
  <r>
    <x v="2"/>
    <s v="Podporné služby"/>
    <x v="1"/>
    <x v="121"/>
    <s v="TC"/>
    <n v="3"/>
    <n v="10"/>
    <n v="3"/>
    <n v="30"/>
  </r>
  <r>
    <x v="2"/>
    <s v="Podporné služby"/>
    <x v="1"/>
    <x v="130"/>
    <s v="TC"/>
    <n v="1"/>
    <n v="15"/>
    <n v="1"/>
    <n v="15"/>
  </r>
  <r>
    <x v="2"/>
    <s v="Podporné služby"/>
    <x v="1"/>
    <x v="23"/>
    <s v="TC"/>
    <n v="1"/>
    <n v="10"/>
    <n v="1"/>
    <n v="10"/>
  </r>
  <r>
    <x v="2"/>
    <s v="Podporné služby"/>
    <x v="1"/>
    <x v="74"/>
    <s v="TC"/>
    <n v="4"/>
    <n v="10"/>
    <n v="4"/>
    <n v="40"/>
  </r>
  <r>
    <x v="2"/>
    <s v="Podporné služby"/>
    <x v="1"/>
    <x v="131"/>
    <s v="TC"/>
    <n v="0"/>
    <n v="10"/>
    <n v="1"/>
    <n v="10"/>
  </r>
  <r>
    <x v="2"/>
    <s v="Podporné služby"/>
    <x v="1"/>
    <x v="132"/>
    <s v="TC"/>
    <n v="0"/>
    <n v="15"/>
    <n v="1"/>
    <n v="15"/>
  </r>
  <r>
    <x v="2"/>
    <s v="Podporné služby"/>
    <x v="1"/>
    <x v="133"/>
    <s v="TC"/>
    <n v="0"/>
    <n v="10"/>
    <n v="1"/>
    <n v="10"/>
  </r>
  <r>
    <x v="2"/>
    <s v="Podporné služby"/>
    <x v="1"/>
    <x v="121"/>
    <s v="TC"/>
    <n v="4"/>
    <n v="10"/>
    <n v="4"/>
    <n v="40"/>
  </r>
  <r>
    <x v="2"/>
    <s v="Podporné služby"/>
    <x v="1"/>
    <x v="122"/>
    <s v="TC"/>
    <n v="0"/>
    <n v="10"/>
    <n v="1"/>
    <n v="10"/>
  </r>
  <r>
    <x v="2"/>
    <s v="Podporné služby"/>
    <x v="1"/>
    <x v="23"/>
    <s v="TC"/>
    <n v="4"/>
    <n v="10"/>
    <n v="4"/>
    <n v="40"/>
  </r>
  <r>
    <x v="2"/>
    <s v="Podporné služby"/>
    <x v="1"/>
    <x v="129"/>
    <s v="TC"/>
    <n v="0"/>
    <n v="10"/>
    <n v="1"/>
    <n v="10"/>
  </r>
  <r>
    <x v="2"/>
    <s v="Podporné služby"/>
    <x v="1"/>
    <x v="126"/>
    <s v="TC"/>
    <n v="4"/>
    <n v="10"/>
    <n v="4"/>
    <n v="40"/>
  </r>
  <r>
    <x v="2"/>
    <s v="Podporné služby"/>
    <x v="1"/>
    <x v="134"/>
    <s v="TC"/>
    <n v="0"/>
    <n v="10"/>
    <n v="1"/>
    <n v="10"/>
  </r>
  <r>
    <x v="2"/>
    <s v="Podporné služby"/>
    <x v="2"/>
    <x v="32"/>
    <s v="TC"/>
    <n v="0"/>
    <n v="15"/>
    <n v="1"/>
    <n v="15"/>
  </r>
  <r>
    <x v="2"/>
    <s v="Podporné služby"/>
    <x v="2"/>
    <x v="33"/>
    <s v="TC"/>
    <n v="0"/>
    <n v="15"/>
    <n v="1"/>
    <n v="15"/>
  </r>
  <r>
    <x v="2"/>
    <s v="Podporné služby"/>
    <x v="6"/>
    <x v="135"/>
    <s v="TC"/>
    <n v="1"/>
    <n v="15"/>
    <n v="1"/>
    <n v="15"/>
  </r>
  <r>
    <x v="2"/>
    <s v="Podporné služby"/>
    <x v="6"/>
    <x v="136"/>
    <s v="TC"/>
    <n v="0"/>
    <n v="15"/>
    <n v="1"/>
    <n v="15"/>
  </r>
  <r>
    <x v="2"/>
    <s v="Podporné služby"/>
    <x v="6"/>
    <x v="137"/>
    <s v="TC"/>
    <n v="0"/>
    <n v="15"/>
    <n v="1"/>
    <n v="15"/>
  </r>
  <r>
    <x v="2"/>
    <s v="Podporné služby"/>
    <x v="6"/>
    <x v="138"/>
    <s v="TC"/>
    <n v="0"/>
    <n v="15"/>
    <n v="1"/>
    <n v="15"/>
  </r>
  <r>
    <x v="2"/>
    <s v="Podporné služby"/>
    <x v="6"/>
    <x v="139"/>
    <s v="TC"/>
    <n v="0"/>
    <n v="15"/>
    <n v="1"/>
    <n v="15"/>
  </r>
  <r>
    <x v="2"/>
    <s v="Podporné služby"/>
    <x v="6"/>
    <x v="140"/>
    <s v="TC"/>
    <n v="0"/>
    <n v="15"/>
    <n v="1"/>
    <n v="15"/>
  </r>
  <r>
    <x v="2"/>
    <s v="Správa kontextových dát"/>
    <x v="7"/>
    <x v="141"/>
    <s v="TC"/>
    <n v="0"/>
    <n v="15"/>
    <n v="1"/>
    <n v="15"/>
  </r>
  <r>
    <x v="2"/>
    <s v="Správa kontextových dát"/>
    <x v="7"/>
    <x v="142"/>
    <s v="TC"/>
    <n v="0"/>
    <n v="15"/>
    <n v="1"/>
    <n v="15"/>
  </r>
  <r>
    <x v="2"/>
    <s v="Správa kontextových dát"/>
    <x v="7"/>
    <x v="143"/>
    <s v="TC"/>
    <n v="0"/>
    <n v="15"/>
    <n v="1"/>
    <n v="15"/>
  </r>
  <r>
    <x v="2"/>
    <s v="Správa kontextových dát"/>
    <x v="7"/>
    <x v="144"/>
    <s v="TC"/>
    <n v="0"/>
    <n v="15"/>
    <n v="1"/>
    <n v="15"/>
  </r>
  <r>
    <x v="2"/>
    <s v="Správa kontextových dát"/>
    <x v="7"/>
    <x v="145"/>
    <s v="TC"/>
    <n v="3"/>
    <n v="15"/>
    <n v="3"/>
    <n v="4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ontingenčná tabuľka7" cacheId="0" applyNumberFormats="0" applyBorderFormats="0" applyFontFormats="0" applyPatternFormats="0" applyAlignmentFormats="0" applyWidthHeightFormats="1" dataCaption="Hodnoty" updatedVersion="6" minRefreshableVersion="3" rowGrandTotals="0" colGrandTotals="0" itemPrintTitles="1" createdVersion="6" indent="0" compact="0" compactData="0" multipleFieldFilters="0">
  <location ref="A1:L4" firstHeaderRow="1" firstDataRow="3" firstDataCol="1"/>
  <pivotFields count="9">
    <pivotField axis="axisCol" compact="0" outline="0" showAll="0" defaultSubtotal="0">
      <items count="3">
        <item x="2"/>
        <item x="1"/>
        <item x="0"/>
      </items>
    </pivotField>
    <pivotField compact="0" outline="0" showAll="0" defaultSubtotal="0"/>
    <pivotField axis="axisCol" compact="0" outline="0" showAll="0" defaultSubtotal="0">
      <items count="8">
        <item x="0"/>
        <item x="6"/>
        <item x="5"/>
        <item x="4"/>
        <item x="7"/>
        <item x="2"/>
        <item x="3"/>
        <item x="1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</pivotFields>
  <rowItems count="1">
    <i/>
  </rowItems>
  <colFields count="2">
    <field x="0"/>
    <field x="2"/>
  </colFields>
  <colItems count="11">
    <i>
      <x/>
      <x/>
    </i>
    <i r="1">
      <x v="1"/>
    </i>
    <i r="1">
      <x v="2"/>
    </i>
    <i r="1">
      <x v="4"/>
    </i>
    <i r="1">
      <x v="5"/>
    </i>
    <i r="1">
      <x v="7"/>
    </i>
    <i>
      <x v="1"/>
      <x v="3"/>
    </i>
    <i r="1">
      <x v="6"/>
    </i>
    <i>
      <x v="2"/>
      <x/>
    </i>
    <i r="1">
      <x v="5"/>
    </i>
    <i r="1">
      <x v="7"/>
    </i>
  </colItems>
  <dataFields count="1">
    <dataField name="UUCW" fld="8" baseField="0" baseItem="0"/>
  </dataFields>
  <formats count="14">
    <format dxfId="38">
      <pivotArea dataOnly="0" labelOnly="1" outline="0" fieldPosition="0">
        <references count="1">
          <reference field="0" count="0"/>
        </references>
      </pivotArea>
    </format>
    <format dxfId="37">
      <pivotArea dataOnly="0" labelOnly="1" grandCol="1" outline="0" fieldPosition="0"/>
    </format>
    <format dxfId="36">
      <pivotArea dataOnly="0" labelOnly="1" outline="0" fieldPosition="0">
        <references count="2">
          <reference field="0" count="1" selected="0">
            <x v="0"/>
          </reference>
          <reference field="2" count="6">
            <x v="0"/>
            <x v="1"/>
            <x v="2"/>
            <x v="4"/>
            <x v="5"/>
            <x v="7"/>
          </reference>
        </references>
      </pivotArea>
    </format>
    <format dxfId="35">
      <pivotArea dataOnly="0" labelOnly="1" outline="0" fieldPosition="0">
        <references count="2">
          <reference field="0" count="1" selected="0">
            <x v="1"/>
          </reference>
          <reference field="2" count="2">
            <x v="3"/>
            <x v="6"/>
          </reference>
        </references>
      </pivotArea>
    </format>
    <format dxfId="34">
      <pivotArea dataOnly="0" labelOnly="1" outline="0" fieldPosition="0">
        <references count="2">
          <reference field="0" count="1" selected="0">
            <x v="2"/>
          </reference>
          <reference field="2" count="3">
            <x v="0"/>
            <x v="5"/>
            <x v="7"/>
          </reference>
        </references>
      </pivotArea>
    </format>
    <format dxfId="33">
      <pivotArea type="all" dataOnly="0" outline="0" fieldPosition="0"/>
    </format>
    <format dxfId="32">
      <pivotArea field="0" type="button" dataOnly="0" labelOnly="1" outline="0" axis="axisCol" fieldPosition="0"/>
    </format>
    <format dxfId="31">
      <pivotArea field="2" type="button" dataOnly="0" labelOnly="1" outline="0" axis="axisCol" fieldPosition="1"/>
    </format>
    <format dxfId="30">
      <pivotArea type="topRight" dataOnly="0" labelOnly="1" outline="0" fieldPosition="0"/>
    </format>
    <format dxfId="29">
      <pivotArea dataOnly="0" labelOnly="1" outline="0" fieldPosition="0">
        <references count="1">
          <reference field="0" count="0"/>
        </references>
      </pivotArea>
    </format>
    <format dxfId="28">
      <pivotArea dataOnly="0" labelOnly="1" grandCol="1" outline="0" fieldPosition="0"/>
    </format>
    <format dxfId="27">
      <pivotArea dataOnly="0" labelOnly="1" outline="0" fieldPosition="0">
        <references count="2">
          <reference field="0" count="1" selected="0">
            <x v="0"/>
          </reference>
          <reference field="2" count="6">
            <x v="0"/>
            <x v="1"/>
            <x v="2"/>
            <x v="4"/>
            <x v="5"/>
            <x v="7"/>
          </reference>
        </references>
      </pivotArea>
    </format>
    <format dxfId="26">
      <pivotArea dataOnly="0" labelOnly="1" outline="0" fieldPosition="0">
        <references count="2">
          <reference field="0" count="1" selected="0">
            <x v="1"/>
          </reference>
          <reference field="2" count="2">
            <x v="3"/>
            <x v="6"/>
          </reference>
        </references>
      </pivotArea>
    </format>
    <format dxfId="25">
      <pivotArea dataOnly="0" labelOnly="1" outline="0" fieldPosition="0">
        <references count="2">
          <reference field="0" count="1" selected="0">
            <x v="2"/>
          </reference>
          <reference field="2" count="3">
            <x v="0"/>
            <x v="5"/>
            <x v="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name="Kontingenčná tabuľka6" cacheId="0" applyNumberFormats="0" applyBorderFormats="0" applyFontFormats="0" applyPatternFormats="0" applyAlignmentFormats="0" applyWidthHeightFormats="1" dataCaption="Hodnoty" updatedVersion="6" minRefreshableVersion="3" useAutoFormatting="1" rowGrandTotals="0" colGrandTotals="0" itemPrintTitles="1" createdVersion="6" indent="0" outline="1" outlineData="1" multipleFieldFilters="0">
  <location ref="G1:Q3" firstHeaderRow="1" firstDataRow="3" firstDataCol="0"/>
  <pivotFields count="9">
    <pivotField axis="axisCol" showAll="0" defaultSubtotal="0">
      <items count="3">
        <item x="1"/>
        <item x="2"/>
        <item x="0"/>
      </items>
    </pivotField>
    <pivotField showAll="0" defaultSubtotal="0"/>
    <pivotField axis="axisCol" showAll="0" defaultSubtotal="0">
      <items count="8">
        <item x="0"/>
        <item x="6"/>
        <item x="5"/>
        <item x="4"/>
        <item x="7"/>
        <item x="2"/>
        <item x="3"/>
        <item x="1"/>
      </items>
    </pivotField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</pivotFields>
  <rowItems count="1">
    <i/>
  </rowItems>
  <colFields count="2">
    <field x="0"/>
    <field x="2"/>
  </colFields>
  <colItems count="11">
    <i>
      <x/>
      <x v="3"/>
    </i>
    <i r="1">
      <x v="6"/>
    </i>
    <i>
      <x v="1"/>
      <x/>
    </i>
    <i r="1">
      <x v="1"/>
    </i>
    <i r="1">
      <x v="2"/>
    </i>
    <i r="1">
      <x v="4"/>
    </i>
    <i r="1">
      <x v="5"/>
    </i>
    <i r="1">
      <x v="7"/>
    </i>
    <i>
      <x v="2"/>
      <x/>
    </i>
    <i r="1">
      <x v="5"/>
    </i>
    <i r="1">
      <x v="7"/>
    </i>
  </colItems>
  <formats count="20">
    <format dxfId="19">
      <pivotArea dataOnly="0" labelOnly="1" fieldPosition="0">
        <references count="1">
          <reference field="0" count="0"/>
        </references>
      </pivotArea>
    </format>
    <format dxfId="18">
      <pivotArea dataOnly="0" labelOnly="1" grandCol="1" outline="0" fieldPosition="0"/>
    </format>
    <format dxfId="17">
      <pivotArea dataOnly="0" labelOnly="1" fieldPosition="0">
        <references count="2">
          <reference field="0" count="1" selected="0">
            <x v="0"/>
          </reference>
          <reference field="2" count="2">
            <x v="3"/>
            <x v="6"/>
          </reference>
        </references>
      </pivotArea>
    </format>
    <format dxfId="16">
      <pivotArea dataOnly="0" labelOnly="1" fieldPosition="0">
        <references count="2">
          <reference field="0" count="1" selected="0">
            <x v="1"/>
          </reference>
          <reference field="2" count="6">
            <x v="0"/>
            <x v="1"/>
            <x v="2"/>
            <x v="4"/>
            <x v="5"/>
            <x v="7"/>
          </reference>
        </references>
      </pivotArea>
    </format>
    <format dxfId="15">
      <pivotArea dataOnly="0" labelOnly="1" fieldPosition="0">
        <references count="2">
          <reference field="0" count="1" selected="0">
            <x v="2"/>
          </reference>
          <reference field="2" count="3">
            <x v="0"/>
            <x v="5"/>
            <x v="7"/>
          </reference>
        </references>
      </pivotArea>
    </format>
    <format dxfId="14">
      <pivotArea dataOnly="0" labelOnly="1" fieldPosition="0">
        <references count="1">
          <reference field="0" count="0"/>
        </references>
      </pivotArea>
    </format>
    <format dxfId="13">
      <pivotArea dataOnly="0" labelOnly="1" grandCol="1" outline="0" fieldPosition="0"/>
    </format>
    <format dxfId="12">
      <pivotArea dataOnly="0" labelOnly="1" fieldPosition="0">
        <references count="2">
          <reference field="0" count="1" selected="0">
            <x v="0"/>
          </reference>
          <reference field="2" count="2">
            <x v="3"/>
            <x v="6"/>
          </reference>
        </references>
      </pivotArea>
    </format>
    <format dxfId="11">
      <pivotArea dataOnly="0" labelOnly="1" fieldPosition="0">
        <references count="2">
          <reference field="0" count="1" selected="0">
            <x v="1"/>
          </reference>
          <reference field="2" count="6">
            <x v="0"/>
            <x v="1"/>
            <x v="2"/>
            <x v="4"/>
            <x v="5"/>
            <x v="7"/>
          </reference>
        </references>
      </pivotArea>
    </format>
    <format dxfId="10">
      <pivotArea dataOnly="0" labelOnly="1" fieldPosition="0">
        <references count="2">
          <reference field="0" count="1" selected="0">
            <x v="2"/>
          </reference>
          <reference field="2" count="3">
            <x v="0"/>
            <x v="5"/>
            <x v="7"/>
          </reference>
        </references>
      </pivotArea>
    </format>
    <format dxfId="9">
      <pivotArea dataOnly="0" labelOnly="1" fieldPosition="0">
        <references count="1">
          <reference field="0" count="0"/>
        </references>
      </pivotArea>
    </format>
    <format dxfId="8">
      <pivotArea dataOnly="0" labelOnly="1" grandCol="1" outline="0" fieldPosition="0"/>
    </format>
    <format dxfId="7">
      <pivotArea dataOnly="0" labelOnly="1" fieldPosition="0">
        <references count="2">
          <reference field="0" count="1" selected="0">
            <x v="0"/>
          </reference>
          <reference field="2" count="2">
            <x v="3"/>
            <x v="6"/>
          </reference>
        </references>
      </pivotArea>
    </format>
    <format dxfId="6">
      <pivotArea dataOnly="0" labelOnly="1" fieldPosition="0">
        <references count="2">
          <reference field="0" count="1" selected="0">
            <x v="1"/>
          </reference>
          <reference field="2" count="6">
            <x v="0"/>
            <x v="1"/>
            <x v="2"/>
            <x v="4"/>
            <x v="5"/>
            <x v="7"/>
          </reference>
        </references>
      </pivotArea>
    </format>
    <format dxfId="5">
      <pivotArea dataOnly="0" labelOnly="1" fieldPosition="0">
        <references count="2">
          <reference field="0" count="1" selected="0">
            <x v="2"/>
          </reference>
          <reference field="2" count="3">
            <x v="0"/>
            <x v="5"/>
            <x v="7"/>
          </reference>
        </references>
      </pivotArea>
    </format>
    <format dxfId="4">
      <pivotArea dataOnly="0" labelOnly="1" fieldPosition="0">
        <references count="1">
          <reference field="0" count="0"/>
        </references>
      </pivotArea>
    </format>
    <format dxfId="3">
      <pivotArea dataOnly="0" labelOnly="1" grandCol="1" outline="0" fieldPosition="0"/>
    </format>
    <format dxfId="2">
      <pivotArea dataOnly="0" labelOnly="1" fieldPosition="0">
        <references count="2">
          <reference field="0" count="1" selected="0">
            <x v="0"/>
          </reference>
          <reference field="2" count="2">
            <x v="3"/>
            <x v="6"/>
          </reference>
        </references>
      </pivotArea>
    </format>
    <format dxfId="1">
      <pivotArea dataOnly="0" labelOnly="1" fieldPosition="0">
        <references count="2">
          <reference field="0" count="1" selected="0">
            <x v="1"/>
          </reference>
          <reference field="2" count="6">
            <x v="0"/>
            <x v="1"/>
            <x v="2"/>
            <x v="4"/>
            <x v="5"/>
            <x v="7"/>
          </reference>
        </references>
      </pivotArea>
    </format>
    <format dxfId="0">
      <pivotArea dataOnly="0" labelOnly="1" fieldPosition="0">
        <references count="2">
          <reference field="0" count="1" selected="0">
            <x v="2"/>
          </reference>
          <reference field="2" count="3">
            <x v="0"/>
            <x v="5"/>
            <x v="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3.xml><?xml version="1.0" encoding="utf-8"?>
<pivotTableDefinition xmlns="http://schemas.openxmlformats.org/spreadsheetml/2006/main" name="Kontingenčná tabuľka2" cacheId="0" applyNumberFormats="0" applyBorderFormats="0" applyFontFormats="0" applyPatternFormats="0" applyAlignmentFormats="0" applyWidthHeightFormats="1" dataCaption="Hodnoty" updatedVersion="6" minRefreshableVersion="3" itemPrintTitles="1" createdVersion="6" indent="0" compact="0" compactData="0" multipleFieldFilters="0">
  <location ref="U2:W14" firstHeaderRow="1" firstDataRow="1" firstDataCol="2"/>
  <pivotFields count="9">
    <pivotField axis="axisRow" compact="0" outline="0" showAll="0" defaultSubtotal="0">
      <items count="3">
        <item x="2"/>
        <item x="1"/>
        <item x="0"/>
      </items>
    </pivotField>
    <pivotField compact="0" outline="0" showAll="0" defaultSubtotal="0"/>
    <pivotField axis="axisRow" compact="0" outline="0" showAll="0" defaultSubtotal="0">
      <items count="8">
        <item x="0"/>
        <item x="6"/>
        <item x="5"/>
        <item x="4"/>
        <item x="7"/>
        <item x="2"/>
        <item x="3"/>
        <item x="1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</pivotFields>
  <rowFields count="2">
    <field x="0"/>
    <field x="2"/>
  </rowFields>
  <rowItems count="12">
    <i>
      <x/>
      <x/>
    </i>
    <i r="1">
      <x v="1"/>
    </i>
    <i r="1">
      <x v="2"/>
    </i>
    <i r="1">
      <x v="4"/>
    </i>
    <i r="1">
      <x v="5"/>
    </i>
    <i r="1">
      <x v="7"/>
    </i>
    <i>
      <x v="1"/>
      <x v="3"/>
    </i>
    <i r="1">
      <x v="6"/>
    </i>
    <i>
      <x v="2"/>
      <x/>
    </i>
    <i r="1">
      <x v="5"/>
    </i>
    <i r="1">
      <x v="7"/>
    </i>
    <i t="grand">
      <x/>
    </i>
  </rowItems>
  <colItems count="1">
    <i/>
  </colItems>
  <dataFields count="1">
    <dataField name="Súčet z Výsledok" fld="8" baseField="2" baseItem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4.xml><?xml version="1.0" encoding="utf-8"?>
<pivotTableDefinition xmlns="http://schemas.openxmlformats.org/spreadsheetml/2006/main" name="Kontingenčná tabuľka1" cacheId="0" applyNumberFormats="0" applyBorderFormats="0" applyFontFormats="0" applyPatternFormats="0" applyAlignmentFormats="0" applyWidthHeightFormats="1" dataCaption="Hodnoty" updatedVersion="6" minRefreshableVersion="3" itemPrintTitles="1" createdVersion="6" indent="0" compact="0" compactData="0" multipleFieldFilters="0">
  <location ref="A3:C166" firstHeaderRow="1" firstDataRow="1" firstDataCol="2"/>
  <pivotFields count="9">
    <pivotField compact="0" outline="0" showAll="0" defaultSubtotal="0"/>
    <pivotField dataField="1" compact="0" outline="0" showAll="0" defaultSubtotal="0"/>
    <pivotField axis="axisRow" compact="0" outline="0" showAll="0" defaultSubtotal="0">
      <items count="8">
        <item x="0"/>
        <item x="6"/>
        <item x="5"/>
        <item x="4"/>
        <item x="7"/>
        <item x="2"/>
        <item x="3"/>
        <item x="1"/>
      </items>
    </pivotField>
    <pivotField axis="axisRow" compact="0" outline="0" showAll="0" defaultSubtotal="0">
      <items count="146">
        <item x="46"/>
        <item x="33"/>
        <item x="91"/>
        <item x="66"/>
        <item x="65"/>
        <item x="90"/>
        <item x="62"/>
        <item x="138"/>
        <item x="77"/>
        <item x="45"/>
        <item x="42"/>
        <item x="61"/>
        <item x="131"/>
        <item x="36"/>
        <item x="38"/>
        <item x="76"/>
        <item x="78"/>
        <item x="71"/>
        <item x="82"/>
        <item x="64"/>
        <item x="80"/>
        <item x="31"/>
        <item x="85"/>
        <item x="86"/>
        <item x="132"/>
        <item x="127"/>
        <item x="35"/>
        <item x="100"/>
        <item x="2"/>
        <item x="113"/>
        <item x="25"/>
        <item x="18"/>
        <item x="58"/>
        <item x="60"/>
        <item x="50"/>
        <item x="48"/>
        <item x="53"/>
        <item x="52"/>
        <item x="54"/>
        <item x="51"/>
        <item x="56"/>
        <item x="49"/>
        <item x="59"/>
        <item x="57"/>
        <item x="55"/>
        <item x="47"/>
        <item x="17"/>
        <item x="125"/>
        <item x="126"/>
        <item x="16"/>
        <item x="110"/>
        <item x="15"/>
        <item x="103"/>
        <item x="120"/>
        <item x="117"/>
        <item x="128"/>
        <item x="133"/>
        <item x="37"/>
        <item x="92"/>
        <item x="81"/>
        <item x="98"/>
        <item x="0"/>
        <item x="135"/>
        <item x="112"/>
        <item x="111"/>
        <item x="108"/>
        <item x="12"/>
        <item x="39"/>
        <item x="75"/>
        <item x="137"/>
        <item x="144"/>
        <item x="141"/>
        <item x="143"/>
        <item x="142"/>
        <item x="145"/>
        <item x="134"/>
        <item x="139"/>
        <item x="29"/>
        <item x="87"/>
        <item x="5"/>
        <item x="4"/>
        <item x="97"/>
        <item x="107"/>
        <item x="10"/>
        <item x="124"/>
        <item x="109"/>
        <item x="14"/>
        <item x="40"/>
        <item x="121"/>
        <item x="72"/>
        <item x="63"/>
        <item x="116"/>
        <item x="115"/>
        <item x="114"/>
        <item x="119"/>
        <item x="99"/>
        <item x="1"/>
        <item x="118"/>
        <item x="7"/>
        <item x="6"/>
        <item x="69"/>
        <item x="70"/>
        <item x="19"/>
        <item x="101"/>
        <item x="34"/>
        <item x="32"/>
        <item x="129"/>
        <item x="30"/>
        <item x="41"/>
        <item x="13"/>
        <item x="11"/>
        <item x="3"/>
        <item x="83"/>
        <item x="73"/>
        <item x="84"/>
        <item x="79"/>
        <item x="43"/>
        <item x="20"/>
        <item x="21"/>
        <item x="22"/>
        <item x="74"/>
        <item x="130"/>
        <item x="122"/>
        <item x="23"/>
        <item x="24"/>
        <item x="140"/>
        <item x="102"/>
        <item x="44"/>
        <item x="94"/>
        <item x="95"/>
        <item x="27"/>
        <item x="28"/>
        <item x="26"/>
        <item x="68"/>
        <item x="67"/>
        <item x="96"/>
        <item x="88"/>
        <item x="89"/>
        <item x="136"/>
        <item x="106"/>
        <item x="104"/>
        <item x="8"/>
        <item x="93"/>
        <item x="105"/>
        <item x="9"/>
        <item x="123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</pivotFields>
  <rowFields count="2">
    <field x="2"/>
    <field x="3"/>
  </rowFields>
  <rowItems count="163">
    <i>
      <x/>
      <x v="17"/>
    </i>
    <i r="1">
      <x v="18"/>
    </i>
    <i r="1">
      <x v="22"/>
    </i>
    <i r="1">
      <x v="23"/>
    </i>
    <i r="1">
      <x v="27"/>
    </i>
    <i r="1">
      <x v="28"/>
    </i>
    <i r="1">
      <x v="29"/>
    </i>
    <i r="1">
      <x v="30"/>
    </i>
    <i r="1">
      <x v="31"/>
    </i>
    <i r="1">
      <x v="46"/>
    </i>
    <i r="1">
      <x v="47"/>
    </i>
    <i r="1">
      <x v="48"/>
    </i>
    <i r="1">
      <x v="49"/>
    </i>
    <i r="1">
      <x v="50"/>
    </i>
    <i r="1">
      <x v="51"/>
    </i>
    <i r="1">
      <x v="52"/>
    </i>
    <i r="1">
      <x v="53"/>
    </i>
    <i r="1">
      <x v="54"/>
    </i>
    <i r="1">
      <x v="60"/>
    </i>
    <i r="1">
      <x v="61"/>
    </i>
    <i r="1">
      <x v="63"/>
    </i>
    <i r="1">
      <x v="64"/>
    </i>
    <i r="1">
      <x v="65"/>
    </i>
    <i r="1">
      <x v="66"/>
    </i>
    <i r="1">
      <x v="77"/>
    </i>
    <i r="1">
      <x v="79"/>
    </i>
    <i r="1">
      <x v="80"/>
    </i>
    <i r="1">
      <x v="81"/>
    </i>
    <i r="1">
      <x v="82"/>
    </i>
    <i r="1">
      <x v="83"/>
    </i>
    <i r="1">
      <x v="84"/>
    </i>
    <i r="1">
      <x v="85"/>
    </i>
    <i r="1">
      <x v="86"/>
    </i>
    <i r="1">
      <x v="88"/>
    </i>
    <i r="1">
      <x v="89"/>
    </i>
    <i r="1">
      <x v="91"/>
    </i>
    <i r="1">
      <x v="92"/>
    </i>
    <i r="1">
      <x v="93"/>
    </i>
    <i r="1">
      <x v="94"/>
    </i>
    <i r="1">
      <x v="95"/>
    </i>
    <i r="1">
      <x v="96"/>
    </i>
    <i r="1">
      <x v="97"/>
    </i>
    <i r="1">
      <x v="98"/>
    </i>
    <i r="1">
      <x v="99"/>
    </i>
    <i r="1">
      <x v="102"/>
    </i>
    <i r="1">
      <x v="103"/>
    </i>
    <i r="1">
      <x v="109"/>
    </i>
    <i r="1">
      <x v="110"/>
    </i>
    <i r="1">
      <x v="111"/>
    </i>
    <i r="1">
      <x v="117"/>
    </i>
    <i r="1">
      <x v="118"/>
    </i>
    <i r="1">
      <x v="119"/>
    </i>
    <i r="1">
      <x v="120"/>
    </i>
    <i r="1">
      <x v="122"/>
    </i>
    <i r="1">
      <x v="123"/>
    </i>
    <i r="1">
      <x v="124"/>
    </i>
    <i r="1">
      <x v="126"/>
    </i>
    <i r="1">
      <x v="128"/>
    </i>
    <i r="1">
      <x v="130"/>
    </i>
    <i r="1">
      <x v="131"/>
    </i>
    <i r="1">
      <x v="132"/>
    </i>
    <i r="1">
      <x v="139"/>
    </i>
    <i r="1">
      <x v="140"/>
    </i>
    <i r="1">
      <x v="141"/>
    </i>
    <i r="1">
      <x v="143"/>
    </i>
    <i r="1">
      <x v="144"/>
    </i>
    <i r="1">
      <x v="145"/>
    </i>
    <i>
      <x v="1"/>
      <x v="7"/>
    </i>
    <i r="1">
      <x v="62"/>
    </i>
    <i r="1">
      <x v="69"/>
    </i>
    <i r="1">
      <x v="76"/>
    </i>
    <i r="1">
      <x v="125"/>
    </i>
    <i r="1">
      <x v="138"/>
    </i>
    <i>
      <x v="2"/>
      <x v="2"/>
    </i>
    <i r="1">
      <x v="5"/>
    </i>
    <i r="1">
      <x v="8"/>
    </i>
    <i r="1">
      <x v="15"/>
    </i>
    <i r="1">
      <x v="16"/>
    </i>
    <i r="1">
      <x v="17"/>
    </i>
    <i r="1">
      <x v="18"/>
    </i>
    <i r="1">
      <x v="20"/>
    </i>
    <i r="1">
      <x v="22"/>
    </i>
    <i r="1">
      <x v="23"/>
    </i>
    <i r="1">
      <x v="58"/>
    </i>
    <i r="1">
      <x v="59"/>
    </i>
    <i r="1">
      <x v="68"/>
    </i>
    <i r="1">
      <x v="78"/>
    </i>
    <i r="1">
      <x v="81"/>
    </i>
    <i r="1">
      <x v="89"/>
    </i>
    <i r="1">
      <x v="100"/>
    </i>
    <i r="1">
      <x v="101"/>
    </i>
    <i r="1">
      <x v="112"/>
    </i>
    <i r="1">
      <x v="113"/>
    </i>
    <i r="1">
      <x v="114"/>
    </i>
    <i r="1">
      <x v="115"/>
    </i>
    <i r="1">
      <x v="120"/>
    </i>
    <i r="1">
      <x v="128"/>
    </i>
    <i r="1">
      <x v="129"/>
    </i>
    <i r="1">
      <x v="133"/>
    </i>
    <i r="1">
      <x v="134"/>
    </i>
    <i r="1">
      <x v="135"/>
    </i>
    <i r="1">
      <x v="136"/>
    </i>
    <i r="1">
      <x v="137"/>
    </i>
    <i r="1">
      <x v="142"/>
    </i>
    <i>
      <x v="3"/>
      <x/>
    </i>
    <i r="1">
      <x v="3"/>
    </i>
    <i r="1">
      <x v="4"/>
    </i>
    <i r="1">
      <x v="6"/>
    </i>
    <i r="1">
      <x v="11"/>
    </i>
    <i r="1">
      <x v="19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90"/>
    </i>
    <i>
      <x v="4"/>
      <x v="70"/>
    </i>
    <i r="1">
      <x v="71"/>
    </i>
    <i r="1">
      <x v="72"/>
    </i>
    <i r="1">
      <x v="73"/>
    </i>
    <i r="1">
      <x v="74"/>
    </i>
    <i>
      <x v="5"/>
      <x v="1"/>
    </i>
    <i r="1">
      <x v="105"/>
    </i>
    <i>
      <x v="6"/>
      <x v="9"/>
    </i>
    <i r="1">
      <x v="10"/>
    </i>
    <i r="1">
      <x v="13"/>
    </i>
    <i r="1">
      <x v="14"/>
    </i>
    <i r="1">
      <x v="26"/>
    </i>
    <i r="1">
      <x v="57"/>
    </i>
    <i r="1">
      <x v="67"/>
    </i>
    <i r="1">
      <x v="87"/>
    </i>
    <i r="1">
      <x v="104"/>
    </i>
    <i r="1">
      <x v="108"/>
    </i>
    <i r="1">
      <x v="116"/>
    </i>
    <i r="1">
      <x v="127"/>
    </i>
    <i>
      <x v="7"/>
      <x v="12"/>
    </i>
    <i r="1">
      <x v="21"/>
    </i>
    <i r="1">
      <x v="24"/>
    </i>
    <i r="1">
      <x v="25"/>
    </i>
    <i r="1">
      <x v="48"/>
    </i>
    <i r="1">
      <x v="55"/>
    </i>
    <i r="1">
      <x v="56"/>
    </i>
    <i r="1">
      <x v="75"/>
    </i>
    <i r="1">
      <x v="88"/>
    </i>
    <i r="1">
      <x v="106"/>
    </i>
    <i r="1">
      <x v="107"/>
    </i>
    <i r="1">
      <x v="118"/>
    </i>
    <i r="1">
      <x v="119"/>
    </i>
    <i r="1">
      <x v="120"/>
    </i>
    <i r="1">
      <x v="121"/>
    </i>
    <i r="1">
      <x v="122"/>
    </i>
    <i r="1">
      <x v="123"/>
    </i>
    <i r="1">
      <x v="124"/>
    </i>
    <i t="grand">
      <x/>
    </i>
  </rowItems>
  <colItems count="1">
    <i/>
  </colItems>
  <dataFields count="1">
    <dataField name="Počet z Služba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2" dT="2020-07-23T07:26:25.81" personId="{187FCFE1-91B7-4337-AE67-18927370956D}" id="{8C384827-B942-4288-9ABA-CF908C2F6B5A}">
    <text>Štandardná sadzba pre Produktivity Factor je na úrovni 15 - 30 hodín per UC. 
Vzhľadom na budovanie nového systému predpokladáme hodnotu na úrovni 25 hodín per Use Case, čo je hodnota o 11% vyššia ako je priemer spodnej a vrchnej hodnoty. 
Jedná sa o konzervatívny odhad prácnosti.</text>
  </threadedComment>
  <threadedComment ref="B13" dT="2020-07-23T07:32:24.45" personId="{187FCFE1-91B7-4337-AE67-18927370956D}" id="{F154DA7F-256D-4296-AE0C-AFB00B264668}">
    <text>Tento PF je pre systém účtovnej evidencie, ktorý vytvorí len nové funkcionality a nastavenie existujúce systému a preto sa nebudú budovať kompletné UC pre účtovnú ševidenciu ale len customizovať existujúce. 
Preto je definovaný PF na spodnej hranici a to 15 hodín per UC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5" dT="2020-07-22T07:29:32.92" personId="{187FCFE1-91B7-4337-AE67-18927370956D}" id="{EFC553DA-554E-4F3C-876A-75A73EA44A5F}">
    <text>Jedná sa o 1 prevadzkovatelov vozidiel podla typu platieb:
 - prepaid
 - post paid</text>
  </threadedComment>
  <threadedComment ref="B7" dT="2020-07-22T07:29:45.19" personId="{187FCFE1-91B7-4337-AE67-18927370956D}" id="{0C8D35B2-396F-4359-9564-1F524394124A}">
    <text>Počet užívateľov vychádza z počtu rolí definovaných v navhovanej organizačnej štruktúre, pricom jednotlive moduly budu prisposobene danym poziciam. Ide o nasledovne pozicie:
 - výkonu agendy Evidencie a vyrubenia mýta
    - 2 x špecialista
    - 2 x referent
 -  zabezpečenie technickej obsluhy technológií   -Evidencie a vyrubenia mýta:
     - 1 x špecialita 
 - Kontrola a projektový management, 
    - 1 x špecialista
    - 1 x referent
 - zabezpečenie  výkonu agendy Správy kontextových dát 
    - 1x špecialista
    - 1 x odborný referent
 -  zabezpečenie technickej obsluhy technológií Správy kontextových dát
     - 1 x špecialista 
 - zabezepčenie výkonu agendy Podporných činností
     - 1 x špecialista
     - 1 x odborný referent
     - 1 x vedúci oddelenia
     - 1 x vedúci odboru
-  zabezpečenie technickej obsluhy technológií pre výkon Podporných činností
     - 1 x špecialista</text>
  </threadedComment>
  <threadedComment ref="B8" dT="2020-07-22T07:29:20.56" personId="{187FCFE1-91B7-4337-AE67-18927370956D}" id="{ABA479AA-AB96-49CC-9B88-B7B87982D3B4}">
    <text>Jedná sa o počet integrácií na iné ISVS, pričom v projekte sa predpokladajú nasledovné integrácie:
 - účtovníctvo
 - banka NDS
 - registratúra
 - externí odmeratelia dát
 - verejný web NDS
 - data.gov.sk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S3" dT="2020-07-22T07:40:58.34" personId="{187FCFE1-91B7-4337-AE67-18927370956D}" id="{5985AEB0-F53A-4990-B399-8D245D7E77A3}">
    <text>PF pre všetky moduly okrem Uctovnej evidencie</text>
  </threadedComment>
  <threadedComment ref="S4" dT="2020-07-23T07:33:36.04" personId="{187FCFE1-91B7-4337-AE67-18927370956D}" id="{8AD318F8-AE58-4FC7-9641-80AE34EC3E27}">
    <text>PF pre uctovny modul - prisposobenenie existujuceho riesenia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Relationship Id="rId5" Type="http://schemas.microsoft.com/office/2017/10/relationships/threadedComment" Target="../threadedComments/threadedComment3.xml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4"/>
  <sheetViews>
    <sheetView tabSelected="1" topLeftCell="B1" workbookViewId="0">
      <selection activeCell="B10" sqref="B10"/>
    </sheetView>
  </sheetViews>
  <sheetFormatPr defaultRowHeight="12.75" x14ac:dyDescent="0.2"/>
  <cols>
    <col min="1" max="1" width="22.42578125" style="55" customWidth="1"/>
    <col min="2" max="12" width="11.7109375" style="55" customWidth="1"/>
    <col min="13" max="13" width="16.7109375" bestFit="1" customWidth="1"/>
    <col min="14" max="14" width="28.7109375" bestFit="1" customWidth="1"/>
    <col min="15" max="15" width="11.7109375" bestFit="1" customWidth="1"/>
  </cols>
  <sheetData>
    <row r="1" spans="1:12" x14ac:dyDescent="0.2">
      <c r="B1" s="54" t="s">
        <v>208</v>
      </c>
      <c r="C1" s="54" t="s">
        <v>209</v>
      </c>
    </row>
    <row r="2" spans="1:12" ht="109.15" customHeight="1" x14ac:dyDescent="0.2">
      <c r="B2" s="56" t="s">
        <v>152</v>
      </c>
      <c r="C2" s="56"/>
      <c r="D2" s="56"/>
      <c r="E2" s="56"/>
      <c r="F2" s="56"/>
      <c r="G2" s="56"/>
      <c r="H2" s="56" t="s">
        <v>176</v>
      </c>
      <c r="I2" s="56"/>
      <c r="J2" s="56" t="s">
        <v>2</v>
      </c>
      <c r="K2" s="56"/>
      <c r="L2" s="56"/>
    </row>
    <row r="3" spans="1:12" ht="110.25" x14ac:dyDescent="0.2">
      <c r="B3" s="56" t="s">
        <v>155</v>
      </c>
      <c r="C3" s="56" t="s">
        <v>174</v>
      </c>
      <c r="D3" s="56" t="s">
        <v>179</v>
      </c>
      <c r="E3" s="56" t="s">
        <v>200</v>
      </c>
      <c r="F3" s="56" t="s">
        <v>222</v>
      </c>
      <c r="G3" s="56" t="s">
        <v>221</v>
      </c>
      <c r="H3" s="56" t="s">
        <v>199</v>
      </c>
      <c r="I3" s="56" t="s">
        <v>198</v>
      </c>
      <c r="J3" s="56" t="s">
        <v>155</v>
      </c>
      <c r="K3" s="56" t="s">
        <v>222</v>
      </c>
      <c r="L3" s="56" t="s">
        <v>221</v>
      </c>
    </row>
    <row r="4" spans="1:12" x14ac:dyDescent="0.2">
      <c r="A4" s="55" t="s">
        <v>291</v>
      </c>
      <c r="B4" s="57">
        <v>890</v>
      </c>
      <c r="C4" s="57">
        <v>90</v>
      </c>
      <c r="D4" s="57">
        <v>460</v>
      </c>
      <c r="E4" s="57">
        <v>105</v>
      </c>
      <c r="F4" s="57">
        <v>30</v>
      </c>
      <c r="G4" s="57">
        <v>315</v>
      </c>
      <c r="H4" s="57">
        <v>205</v>
      </c>
      <c r="I4" s="57">
        <v>110</v>
      </c>
      <c r="J4" s="57">
        <v>780</v>
      </c>
      <c r="K4" s="57">
        <v>30</v>
      </c>
      <c r="L4" s="57">
        <v>55</v>
      </c>
    </row>
    <row r="5" spans="1:12" x14ac:dyDescent="0.2">
      <c r="A5" s="55" t="s">
        <v>288</v>
      </c>
      <c r="B5" s="55">
        <f>HLOOKUP(B3,UAW!$G$3:$Q$9,7,0)</f>
        <v>60</v>
      </c>
      <c r="C5" s="55">
        <f>HLOOKUP(C3,UAW!$G$3:$Q$9,7,0)</f>
        <v>60</v>
      </c>
      <c r="D5" s="55">
        <f>HLOOKUP(D3,UAW!$G$3:$Q$9,7,0)</f>
        <v>57</v>
      </c>
      <c r="E5" s="55">
        <f>HLOOKUP(E3,UAW!$G$3:$Q$9,7,0)</f>
        <v>57</v>
      </c>
      <c r="F5" s="55">
        <f>HLOOKUP(F3,UAW!$G$3:$Q$9,7,0)</f>
        <v>57</v>
      </c>
      <c r="G5" s="55">
        <f>HLOOKUP(G3,UAW!$G$3:$Q$9,7,0)</f>
        <v>61</v>
      </c>
      <c r="H5" s="55">
        <f>HLOOKUP(H3,UAW!$G$3:$Q$9,7,0)</f>
        <v>60</v>
      </c>
      <c r="I5" s="55">
        <f>HLOOKUP(I3,UAW!$G$3:$Q$9,7,0)</f>
        <v>9</v>
      </c>
      <c r="J5" s="55">
        <f>UAW!O9</f>
        <v>19</v>
      </c>
      <c r="K5" s="55">
        <f>UAW!P9</f>
        <v>15</v>
      </c>
      <c r="L5" s="55">
        <f>UAW!Q9</f>
        <v>15</v>
      </c>
    </row>
    <row r="6" spans="1:12" x14ac:dyDescent="0.2">
      <c r="A6" s="55" t="s">
        <v>289</v>
      </c>
      <c r="B6" s="55">
        <f>HLOOKUP(B3,ECF!$E$2:$S$14,13,0)</f>
        <v>0.75499999999999989</v>
      </c>
      <c r="C6" s="55">
        <f>HLOOKUP(C3,ECF!$E$2:$S$14,13,0)</f>
        <v>0.71</v>
      </c>
      <c r="D6" s="55">
        <f>HLOOKUP(D3,ECF!$E$2:$S$14,13,0)</f>
        <v>0.96499999999999986</v>
      </c>
      <c r="E6" s="55">
        <f>HLOOKUP(E3,ECF!$E$2:$S$14,13,0)</f>
        <v>0.90499999999999992</v>
      </c>
      <c r="F6" s="55">
        <f>HLOOKUP(F3,ECF!$E$2:$S$14,13,0)</f>
        <v>0.74</v>
      </c>
      <c r="G6" s="55">
        <f>HLOOKUP(G3,ECF!$E$2:$S$14,13,0)</f>
        <v>0.74</v>
      </c>
      <c r="H6" s="55">
        <f>HLOOKUP(H3,ECF!$E$2:$S$14,13,0)</f>
        <v>0.96499999999999986</v>
      </c>
      <c r="I6" s="55">
        <f>HLOOKUP(I3,ECF!$E$2:$S$14,13,0)</f>
        <v>0.96499999999999986</v>
      </c>
      <c r="J6" s="55">
        <f>HLOOKUP(J3,ECF!$E$2:$S$14,13,0)</f>
        <v>0.75499999999999989</v>
      </c>
      <c r="K6" s="55">
        <f>HLOOKUP(K3,ECF!$E$2:$S$14,13,0)</f>
        <v>0.74</v>
      </c>
      <c r="L6" s="55">
        <f>HLOOKUP(L3,ECF!$E$2:$S$14,13,0)</f>
        <v>0.74</v>
      </c>
    </row>
    <row r="7" spans="1:12" x14ac:dyDescent="0.2">
      <c r="A7" s="55" t="s">
        <v>290</v>
      </c>
      <c r="B7" s="55">
        <f>HLOOKUP(B3,TFC!$D$2:$S$19,18,0)</f>
        <v>1</v>
      </c>
      <c r="C7" s="55">
        <f>HLOOKUP(C3,TFC!$D$2:$S$19,18,0)</f>
        <v>0.96</v>
      </c>
      <c r="D7" s="55">
        <f>HLOOKUP(D3,TFC!$D$2:$S$19,18,0)</f>
        <v>1.08</v>
      </c>
      <c r="E7" s="55">
        <f>HLOOKUP(E3,TFC!$D$2:$S$19,18,0)</f>
        <v>1.115</v>
      </c>
      <c r="F7" s="55">
        <f>HLOOKUP(F3,TFC!$D$2:$S$19,18,0)</f>
        <v>1.02</v>
      </c>
      <c r="G7" s="55">
        <f>HLOOKUP(G3,TFC!$D$2:$S$19,18,0)</f>
        <v>1.02</v>
      </c>
      <c r="H7" s="55">
        <f>HLOOKUP(H3,TFC!$D$2:$S$19,18,0)</f>
        <v>1.08</v>
      </c>
      <c r="I7" s="55">
        <f>HLOOKUP(I3,TFC!$D$2:$S$19,18,0)</f>
        <v>1.02</v>
      </c>
      <c r="J7" s="55">
        <f>HLOOKUP(J3,TFC!$D$2:$S$19,18,0)</f>
        <v>1</v>
      </c>
      <c r="K7" s="55">
        <f>HLOOKUP(K3,TFC!$D$2:$S$19,18,0)</f>
        <v>1.02</v>
      </c>
      <c r="L7" s="55">
        <f>HLOOKUP(L3,TFC!$D$2:$S$19,18,0)</f>
        <v>1.02</v>
      </c>
    </row>
    <row r="8" spans="1:12" x14ac:dyDescent="0.2">
      <c r="A8" s="55" t="s">
        <v>293</v>
      </c>
      <c r="B8" s="55">
        <f>(B4+B5)*B6*B7</f>
        <v>717.24999999999989</v>
      </c>
      <c r="C8" s="55">
        <f t="shared" ref="C8:L8" si="0">(C4+C5)*C6*C7</f>
        <v>102.24</v>
      </c>
      <c r="D8" s="55">
        <f t="shared" si="0"/>
        <v>538.81739999999991</v>
      </c>
      <c r="E8" s="55">
        <f t="shared" si="0"/>
        <v>163.47014999999999</v>
      </c>
      <c r="F8" s="55">
        <f t="shared" si="0"/>
        <v>65.667599999999993</v>
      </c>
      <c r="G8" s="55">
        <f t="shared" si="0"/>
        <v>283.8048</v>
      </c>
      <c r="H8" s="55">
        <f t="shared" si="0"/>
        <v>276.18299999999999</v>
      </c>
      <c r="I8" s="55">
        <f t="shared" si="0"/>
        <v>117.13169999999998</v>
      </c>
      <c r="J8" s="55">
        <f t="shared" si="0"/>
        <v>603.24499999999989</v>
      </c>
      <c r="K8" s="55">
        <f t="shared" si="0"/>
        <v>33.966000000000001</v>
      </c>
      <c r="L8" s="55">
        <f t="shared" si="0"/>
        <v>52.835999999999999</v>
      </c>
    </row>
    <row r="9" spans="1:12" x14ac:dyDescent="0.2">
      <c r="A9" s="55" t="s">
        <v>294</v>
      </c>
      <c r="B9" s="55">
        <f>B8*$B$12</f>
        <v>17931.249999999996</v>
      </c>
      <c r="C9" s="55">
        <f t="shared" ref="C9:L9" si="1">C8*$B$12</f>
        <v>2556</v>
      </c>
      <c r="D9" s="55">
        <f t="shared" si="1"/>
        <v>13470.434999999998</v>
      </c>
      <c r="E9" s="55">
        <f t="shared" si="1"/>
        <v>4086.7537499999999</v>
      </c>
      <c r="F9" s="55">
        <f t="shared" si="1"/>
        <v>1641.6899999999998</v>
      </c>
      <c r="G9" s="55">
        <f>G8*$B$13</f>
        <v>4257.0720000000001</v>
      </c>
      <c r="H9" s="55">
        <f t="shared" si="1"/>
        <v>6904.5749999999998</v>
      </c>
      <c r="I9" s="55">
        <f t="shared" si="1"/>
        <v>2928.2924999999996</v>
      </c>
      <c r="J9" s="55">
        <f t="shared" si="1"/>
        <v>15081.124999999996</v>
      </c>
      <c r="K9" s="55">
        <f t="shared" si="1"/>
        <v>849.15</v>
      </c>
      <c r="L9" s="55">
        <f t="shared" si="1"/>
        <v>1320.8999999999999</v>
      </c>
    </row>
    <row r="10" spans="1:12" x14ac:dyDescent="0.2">
      <c r="A10" s="55" t="s">
        <v>295</v>
      </c>
      <c r="B10" s="59">
        <f t="shared" ref="B10:L10" si="2">B9*$B$14/8</f>
        <v>1344843.7499999998</v>
      </c>
      <c r="C10" s="59">
        <f t="shared" si="2"/>
        <v>191700</v>
      </c>
      <c r="D10" s="59">
        <f t="shared" si="2"/>
        <v>1010282.6249999998</v>
      </c>
      <c r="E10" s="59">
        <f t="shared" si="2"/>
        <v>306506.53125</v>
      </c>
      <c r="F10" s="59">
        <f t="shared" si="2"/>
        <v>123126.74999999999</v>
      </c>
      <c r="G10" s="59">
        <f t="shared" si="2"/>
        <v>319280.40000000002</v>
      </c>
      <c r="H10" s="59">
        <f t="shared" si="2"/>
        <v>517843.125</v>
      </c>
      <c r="I10" s="59">
        <f t="shared" si="2"/>
        <v>219621.93749999997</v>
      </c>
      <c r="J10" s="59">
        <f t="shared" si="2"/>
        <v>1131084.3749999998</v>
      </c>
      <c r="K10" s="59">
        <f t="shared" si="2"/>
        <v>63686.25</v>
      </c>
      <c r="L10" s="59">
        <f t="shared" si="2"/>
        <v>99067.499999999985</v>
      </c>
    </row>
    <row r="12" spans="1:12" x14ac:dyDescent="0.2">
      <c r="A12" s="55" t="s">
        <v>302</v>
      </c>
      <c r="B12" s="55">
        <v>25</v>
      </c>
    </row>
    <row r="13" spans="1:12" x14ac:dyDescent="0.2">
      <c r="A13" s="55" t="s">
        <v>303</v>
      </c>
      <c r="B13" s="55">
        <v>15</v>
      </c>
    </row>
    <row r="14" spans="1:12" x14ac:dyDescent="0.2">
      <c r="A14" s="55" t="s">
        <v>296</v>
      </c>
      <c r="B14" s="55">
        <v>600</v>
      </c>
    </row>
  </sheetData>
  <pageMargins left="0.7" right="0.7" top="0.75" bottom="0.75" header="0.3" footer="0.3"/>
  <pageSetup paperSize="9" orientation="portrait" horizontalDpi="4294967293" verticalDpi="0"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R35"/>
  <sheetViews>
    <sheetView workbookViewId="0">
      <pane xSplit="1" ySplit="2" topLeftCell="B8" activePane="bottomRight" state="frozen"/>
      <selection pane="topRight" activeCell="B1" sqref="B1"/>
      <selection pane="bottomLeft" activeCell="A3" sqref="A3"/>
      <selection pane="bottomRight" activeCell="J2" sqref="J2"/>
    </sheetView>
  </sheetViews>
  <sheetFormatPr defaultRowHeight="12.75" x14ac:dyDescent="0.2"/>
  <cols>
    <col min="2" max="2" width="46.7109375" customWidth="1"/>
  </cols>
  <sheetData>
    <row r="1" spans="1:18" x14ac:dyDescent="0.2">
      <c r="A1" s="86"/>
      <c r="B1" s="86"/>
      <c r="C1" s="86"/>
      <c r="D1" s="83" t="s">
        <v>20</v>
      </c>
      <c r="E1" s="83"/>
      <c r="F1" s="83"/>
      <c r="G1" s="83"/>
      <c r="H1" s="83"/>
      <c r="I1" s="83"/>
      <c r="J1" s="83"/>
      <c r="K1" s="83"/>
      <c r="L1" s="80" t="s">
        <v>177</v>
      </c>
      <c r="M1" s="80"/>
      <c r="N1" s="80"/>
      <c r="O1" s="80"/>
      <c r="P1" s="80"/>
      <c r="Q1" s="80"/>
      <c r="R1" s="80"/>
    </row>
    <row r="2" spans="1:18" ht="38.25" x14ac:dyDescent="0.2">
      <c r="A2" s="10"/>
      <c r="B2" s="11" t="s">
        <v>62</v>
      </c>
      <c r="C2" s="11" t="s">
        <v>18</v>
      </c>
      <c r="D2" s="12"/>
      <c r="E2" s="12"/>
      <c r="F2" s="12"/>
      <c r="G2" s="12"/>
      <c r="H2" s="12"/>
      <c r="I2" s="12"/>
      <c r="J2" s="12" t="s">
        <v>198</v>
      </c>
      <c r="K2" s="12" t="s">
        <v>199</v>
      </c>
      <c r="L2" s="10"/>
      <c r="M2" s="10"/>
      <c r="N2" s="10"/>
      <c r="O2" s="10"/>
      <c r="P2" s="10"/>
      <c r="Q2" s="12"/>
      <c r="R2" s="12"/>
    </row>
    <row r="3" spans="1:18" ht="25.5" hidden="1" x14ac:dyDescent="0.2">
      <c r="A3" s="82" t="s">
        <v>176</v>
      </c>
      <c r="B3" s="13" t="s">
        <v>114</v>
      </c>
      <c r="C3" s="14" t="s">
        <v>110</v>
      </c>
      <c r="D3" s="16"/>
      <c r="E3" s="16"/>
      <c r="F3" s="16"/>
      <c r="G3" s="16"/>
      <c r="H3" s="16"/>
      <c r="I3" s="16"/>
      <c r="J3" s="15" t="s">
        <v>154</v>
      </c>
      <c r="K3" s="16"/>
      <c r="L3" s="16"/>
      <c r="M3" s="16"/>
      <c r="N3" s="16"/>
      <c r="O3" s="16"/>
      <c r="P3" s="16"/>
      <c r="Q3" s="16"/>
      <c r="R3" s="16"/>
    </row>
    <row r="4" spans="1:18" ht="38.25" hidden="1" x14ac:dyDescent="0.2">
      <c r="A4" s="82"/>
      <c r="B4" s="13" t="s">
        <v>133</v>
      </c>
      <c r="C4" s="14" t="s">
        <v>110</v>
      </c>
      <c r="D4" s="16"/>
      <c r="E4" s="16"/>
      <c r="F4" s="16"/>
      <c r="G4" s="16"/>
      <c r="H4" s="16"/>
      <c r="I4" s="16"/>
      <c r="J4" s="15" t="s">
        <v>154</v>
      </c>
      <c r="K4" s="16"/>
      <c r="L4" s="16"/>
      <c r="M4" s="16"/>
      <c r="N4" s="16"/>
      <c r="O4" s="16"/>
      <c r="P4" s="16"/>
      <c r="Q4" s="16"/>
      <c r="R4" s="16"/>
    </row>
    <row r="5" spans="1:18" hidden="1" x14ac:dyDescent="0.2">
      <c r="A5" s="82"/>
      <c r="B5" s="13" t="s">
        <v>115</v>
      </c>
      <c r="C5" s="14" t="s">
        <v>110</v>
      </c>
      <c r="D5" s="16"/>
      <c r="E5" s="16"/>
      <c r="F5" s="16"/>
      <c r="G5" s="16"/>
      <c r="H5" s="16"/>
      <c r="I5" s="16"/>
      <c r="J5" s="15" t="s">
        <v>154</v>
      </c>
      <c r="K5" s="16"/>
      <c r="L5" s="16"/>
      <c r="M5" s="16"/>
      <c r="N5" s="16"/>
      <c r="O5" s="16"/>
      <c r="P5" s="16"/>
      <c r="Q5" s="16"/>
      <c r="R5" s="16"/>
    </row>
    <row r="6" spans="1:18" ht="25.5" hidden="1" x14ac:dyDescent="0.2">
      <c r="A6" s="82"/>
      <c r="B6" s="13" t="s">
        <v>116</v>
      </c>
      <c r="C6" s="14" t="s">
        <v>110</v>
      </c>
      <c r="D6" s="16"/>
      <c r="E6" s="16"/>
      <c r="F6" s="16"/>
      <c r="G6" s="16"/>
      <c r="H6" s="16"/>
      <c r="I6" s="16"/>
      <c r="J6" s="15" t="s">
        <v>154</v>
      </c>
      <c r="K6" s="16"/>
      <c r="L6" s="16"/>
      <c r="M6" s="16"/>
      <c r="N6" s="16"/>
      <c r="O6" s="16"/>
      <c r="P6" s="16"/>
      <c r="Q6" s="16"/>
      <c r="R6" s="16"/>
    </row>
    <row r="7" spans="1:18" ht="25.5" hidden="1" x14ac:dyDescent="0.2">
      <c r="A7" s="82"/>
      <c r="B7" s="13" t="s">
        <v>117</v>
      </c>
      <c r="C7" s="14" t="s">
        <v>110</v>
      </c>
      <c r="D7" s="16"/>
      <c r="E7" s="16"/>
      <c r="F7" s="16"/>
      <c r="G7" s="16"/>
      <c r="H7" s="16"/>
      <c r="I7" s="16"/>
      <c r="J7" s="15" t="s">
        <v>154</v>
      </c>
      <c r="K7" s="16"/>
      <c r="L7" s="16"/>
      <c r="M7" s="16"/>
      <c r="N7" s="16"/>
      <c r="O7" s="16"/>
      <c r="P7" s="16"/>
      <c r="Q7" s="16"/>
      <c r="R7" s="16"/>
    </row>
    <row r="8" spans="1:18" ht="25.5" x14ac:dyDescent="0.2">
      <c r="A8" s="82"/>
      <c r="B8" s="13" t="s">
        <v>118</v>
      </c>
      <c r="C8" s="14" t="s">
        <v>110</v>
      </c>
      <c r="D8" s="16"/>
      <c r="E8" s="16"/>
      <c r="F8" s="16"/>
      <c r="G8" s="16"/>
      <c r="H8" s="16"/>
      <c r="I8" s="16"/>
      <c r="J8" s="15"/>
      <c r="K8" s="15" t="s">
        <v>154</v>
      </c>
      <c r="L8" s="16"/>
      <c r="M8" s="16"/>
      <c r="N8" s="16"/>
      <c r="O8" s="16"/>
      <c r="P8" s="16"/>
      <c r="Q8" s="16"/>
      <c r="R8" s="16"/>
    </row>
    <row r="9" spans="1:18" ht="25.5" x14ac:dyDescent="0.2">
      <c r="A9" s="82"/>
      <c r="B9" s="13" t="s">
        <v>143</v>
      </c>
      <c r="C9" s="14" t="s">
        <v>110</v>
      </c>
      <c r="D9" s="16"/>
      <c r="E9" s="16"/>
      <c r="F9" s="16"/>
      <c r="G9" s="16"/>
      <c r="H9" s="16"/>
      <c r="I9" s="16"/>
      <c r="J9" s="15"/>
      <c r="K9" s="15" t="s">
        <v>154</v>
      </c>
      <c r="L9" s="16"/>
      <c r="M9" s="16"/>
      <c r="N9" s="16"/>
      <c r="O9" s="16"/>
      <c r="P9" s="16"/>
      <c r="Q9" s="16"/>
      <c r="R9" s="16"/>
    </row>
    <row r="10" spans="1:18" ht="25.5" x14ac:dyDescent="0.2">
      <c r="A10" s="82"/>
      <c r="B10" s="13" t="s">
        <v>147</v>
      </c>
      <c r="C10" s="14" t="s">
        <v>110</v>
      </c>
      <c r="D10" s="16"/>
      <c r="E10" s="16"/>
      <c r="F10" s="16"/>
      <c r="G10" s="16"/>
      <c r="H10" s="16"/>
      <c r="I10" s="16"/>
      <c r="J10" s="15"/>
      <c r="K10" s="15" t="s">
        <v>154</v>
      </c>
      <c r="L10" s="16"/>
      <c r="M10" s="16"/>
      <c r="N10" s="16"/>
      <c r="O10" s="16"/>
      <c r="P10" s="16"/>
      <c r="Q10" s="16"/>
      <c r="R10" s="16"/>
    </row>
    <row r="11" spans="1:18" ht="38.25" x14ac:dyDescent="0.2">
      <c r="A11" s="82"/>
      <c r="B11" s="13" t="s">
        <v>148</v>
      </c>
      <c r="C11" s="14"/>
      <c r="D11" s="16"/>
      <c r="E11" s="16"/>
      <c r="F11" s="16"/>
      <c r="G11" s="16"/>
      <c r="H11" s="16"/>
      <c r="I11" s="16"/>
      <c r="J11" s="16"/>
      <c r="K11" s="15" t="s">
        <v>154</v>
      </c>
      <c r="L11" s="16"/>
      <c r="M11" s="16"/>
      <c r="N11" s="16"/>
      <c r="O11" s="16"/>
      <c r="P11" s="16"/>
      <c r="Q11" s="16"/>
      <c r="R11" s="16"/>
    </row>
    <row r="12" spans="1:18" ht="25.5" x14ac:dyDescent="0.2">
      <c r="A12" s="82"/>
      <c r="B12" s="13" t="s">
        <v>144</v>
      </c>
      <c r="C12" s="14" t="s">
        <v>110</v>
      </c>
      <c r="D12" s="16"/>
      <c r="E12" s="16"/>
      <c r="F12" s="16"/>
      <c r="G12" s="16"/>
      <c r="H12" s="16"/>
      <c r="I12" s="16"/>
      <c r="J12" s="16"/>
      <c r="K12" s="15" t="s">
        <v>154</v>
      </c>
      <c r="L12" s="16"/>
      <c r="M12" s="16"/>
      <c r="N12" s="16"/>
      <c r="O12" s="16"/>
      <c r="P12" s="16"/>
      <c r="Q12" s="16"/>
      <c r="R12" s="16"/>
    </row>
    <row r="13" spans="1:18" ht="38.25" x14ac:dyDescent="0.2">
      <c r="A13" s="82"/>
      <c r="B13" s="13" t="s">
        <v>149</v>
      </c>
      <c r="C13" s="14" t="s">
        <v>110</v>
      </c>
      <c r="D13" s="16"/>
      <c r="E13" s="16"/>
      <c r="F13" s="16"/>
      <c r="G13" s="16"/>
      <c r="H13" s="16"/>
      <c r="I13" s="16"/>
      <c r="J13" s="16"/>
      <c r="K13" s="15" t="s">
        <v>154</v>
      </c>
      <c r="L13" s="16"/>
      <c r="M13" s="16"/>
      <c r="N13" s="16"/>
      <c r="O13" s="16"/>
      <c r="P13" s="16"/>
      <c r="Q13" s="16"/>
      <c r="R13" s="16"/>
    </row>
    <row r="14" spans="1:18" ht="38.25" x14ac:dyDescent="0.2">
      <c r="A14" s="82"/>
      <c r="B14" s="13" t="s">
        <v>145</v>
      </c>
      <c r="C14" s="14" t="s">
        <v>110</v>
      </c>
      <c r="D14" s="16"/>
      <c r="E14" s="16"/>
      <c r="F14" s="16"/>
      <c r="G14" s="16"/>
      <c r="H14" s="16"/>
      <c r="I14" s="16"/>
      <c r="J14" s="16"/>
      <c r="K14" s="15" t="s">
        <v>154</v>
      </c>
      <c r="L14" s="16"/>
      <c r="M14" s="16"/>
      <c r="N14" s="16"/>
      <c r="O14" s="16"/>
      <c r="P14" s="16"/>
      <c r="Q14" s="16"/>
      <c r="R14" s="16"/>
    </row>
    <row r="15" spans="1:18" ht="51" x14ac:dyDescent="0.2">
      <c r="A15" s="82"/>
      <c r="B15" s="13" t="s">
        <v>146</v>
      </c>
      <c r="C15" s="14" t="s">
        <v>110</v>
      </c>
      <c r="D15" s="16"/>
      <c r="E15" s="16"/>
      <c r="F15" s="16"/>
      <c r="G15" s="16"/>
      <c r="H15" s="16"/>
      <c r="I15" s="16"/>
      <c r="J15" s="16"/>
      <c r="K15" s="15" t="s">
        <v>154</v>
      </c>
      <c r="L15" s="16"/>
      <c r="M15" s="16"/>
      <c r="N15" s="16"/>
      <c r="O15" s="16"/>
      <c r="P15" s="16"/>
      <c r="Q15" s="16"/>
      <c r="R15" s="16"/>
    </row>
    <row r="16" spans="1:18" ht="25.5" x14ac:dyDescent="0.2">
      <c r="A16" s="82"/>
      <c r="B16" s="13" t="s">
        <v>120</v>
      </c>
      <c r="C16" s="14" t="s">
        <v>110</v>
      </c>
      <c r="D16" s="16"/>
      <c r="E16" s="16"/>
      <c r="F16" s="16"/>
      <c r="G16" s="16"/>
      <c r="H16" s="16"/>
      <c r="I16" s="16"/>
      <c r="J16" s="16"/>
      <c r="K16" s="15" t="s">
        <v>154</v>
      </c>
      <c r="L16" s="16"/>
      <c r="M16" s="16"/>
      <c r="N16" s="16"/>
      <c r="O16" s="16"/>
      <c r="P16" s="16"/>
      <c r="Q16" s="16"/>
      <c r="R16" s="16"/>
    </row>
    <row r="17" spans="1:18" ht="25.5" x14ac:dyDescent="0.2">
      <c r="A17" s="82"/>
      <c r="B17" s="13" t="s">
        <v>119</v>
      </c>
      <c r="C17" s="14" t="s">
        <v>110</v>
      </c>
      <c r="D17" s="16"/>
      <c r="E17" s="16"/>
      <c r="F17" s="16"/>
      <c r="G17" s="16"/>
      <c r="H17" s="16"/>
      <c r="I17" s="16"/>
      <c r="J17" s="16"/>
      <c r="K17" s="15" t="s">
        <v>154</v>
      </c>
      <c r="L17" s="16"/>
      <c r="M17" s="16"/>
      <c r="N17" s="16"/>
      <c r="O17" s="16"/>
      <c r="P17" s="16"/>
      <c r="Q17" s="16"/>
      <c r="R17" s="16"/>
    </row>
    <row r="18" spans="1:18" x14ac:dyDescent="0.2">
      <c r="A18" s="82"/>
      <c r="B18" s="13" t="s">
        <v>121</v>
      </c>
      <c r="C18" s="14" t="s">
        <v>110</v>
      </c>
      <c r="D18" s="16"/>
      <c r="E18" s="16"/>
      <c r="F18" s="16"/>
      <c r="G18" s="16"/>
      <c r="H18" s="16"/>
      <c r="I18" s="16"/>
      <c r="J18" s="16"/>
      <c r="K18" s="15" t="s">
        <v>154</v>
      </c>
      <c r="L18" s="16"/>
      <c r="M18" s="16"/>
      <c r="N18" s="16"/>
      <c r="O18" s="16"/>
      <c r="P18" s="16"/>
      <c r="Q18" s="16"/>
      <c r="R18" s="16"/>
    </row>
    <row r="19" spans="1:18" ht="25.5" x14ac:dyDescent="0.2">
      <c r="A19" s="82"/>
      <c r="B19" s="13" t="s">
        <v>150</v>
      </c>
      <c r="C19" s="14" t="s">
        <v>110</v>
      </c>
      <c r="D19" s="16"/>
      <c r="E19" s="16"/>
      <c r="F19" s="16"/>
      <c r="G19" s="16"/>
      <c r="H19" s="16"/>
      <c r="I19" s="16"/>
      <c r="J19" s="16"/>
      <c r="K19" s="15" t="s">
        <v>154</v>
      </c>
      <c r="L19" s="16"/>
      <c r="M19" s="16"/>
      <c r="N19" s="16"/>
      <c r="O19" s="16"/>
      <c r="P19" s="16"/>
      <c r="Q19" s="16"/>
      <c r="R19" s="16"/>
    </row>
    <row r="20" spans="1:18" ht="25.5" x14ac:dyDescent="0.2">
      <c r="A20" s="82"/>
      <c r="B20" s="13" t="s">
        <v>122</v>
      </c>
      <c r="C20" s="14" t="s">
        <v>110</v>
      </c>
      <c r="D20" s="16"/>
      <c r="E20" s="16"/>
      <c r="F20" s="16"/>
      <c r="G20" s="16"/>
      <c r="H20" s="16"/>
      <c r="I20" s="16"/>
      <c r="J20" s="16"/>
      <c r="K20" s="15" t="s">
        <v>154</v>
      </c>
      <c r="L20" s="16"/>
      <c r="M20" s="16"/>
      <c r="N20" s="16"/>
      <c r="O20" s="16"/>
      <c r="P20" s="16"/>
      <c r="Q20" s="16"/>
      <c r="R20" s="16"/>
    </row>
    <row r="21" spans="1:18" ht="25.5" x14ac:dyDescent="0.2">
      <c r="A21" s="82"/>
      <c r="B21" s="13" t="s">
        <v>123</v>
      </c>
      <c r="C21" s="14" t="s">
        <v>110</v>
      </c>
      <c r="D21" s="16"/>
      <c r="E21" s="16"/>
      <c r="F21" s="16"/>
      <c r="G21" s="16"/>
      <c r="H21" s="16"/>
      <c r="I21" s="16"/>
      <c r="J21" s="16"/>
      <c r="K21" s="15" t="s">
        <v>154</v>
      </c>
      <c r="L21" s="16"/>
      <c r="M21" s="16"/>
      <c r="N21" s="16"/>
      <c r="O21" s="16"/>
      <c r="P21" s="16"/>
      <c r="Q21" s="16"/>
      <c r="R21" s="16"/>
    </row>
    <row r="22" spans="1:18" ht="38.25" x14ac:dyDescent="0.2">
      <c r="A22" s="82"/>
      <c r="B22" s="13" t="s">
        <v>151</v>
      </c>
      <c r="C22" s="14" t="s">
        <v>110</v>
      </c>
      <c r="D22" s="16"/>
      <c r="E22" s="16"/>
      <c r="F22" s="16"/>
      <c r="G22" s="16"/>
      <c r="H22" s="16"/>
      <c r="I22" s="16"/>
      <c r="J22" s="15"/>
      <c r="K22" s="15" t="s">
        <v>154</v>
      </c>
      <c r="L22" s="16"/>
      <c r="M22" s="16"/>
      <c r="N22" s="16"/>
      <c r="O22" s="16"/>
      <c r="P22" s="16"/>
      <c r="Q22" s="16"/>
      <c r="R22" s="16"/>
    </row>
    <row r="23" spans="1:18" ht="25.5" hidden="1" x14ac:dyDescent="0.2">
      <c r="A23" s="82"/>
      <c r="B23" s="13" t="s">
        <v>125</v>
      </c>
      <c r="C23" s="14" t="s">
        <v>110</v>
      </c>
      <c r="D23" s="16"/>
      <c r="E23" s="16"/>
      <c r="F23" s="16"/>
      <c r="G23" s="16"/>
      <c r="H23" s="16"/>
      <c r="I23" s="16"/>
      <c r="J23" s="15" t="s">
        <v>154</v>
      </c>
      <c r="K23" s="16"/>
      <c r="L23" s="16"/>
      <c r="M23" s="16"/>
      <c r="N23" s="16"/>
      <c r="O23" s="16"/>
      <c r="P23" s="16"/>
      <c r="Q23" s="16"/>
      <c r="R23" s="16"/>
    </row>
    <row r="24" spans="1:18" hidden="1" x14ac:dyDescent="0.2">
      <c r="A24" s="82"/>
      <c r="B24" s="13" t="s">
        <v>129</v>
      </c>
      <c r="C24" s="14" t="s">
        <v>110</v>
      </c>
      <c r="D24" s="16"/>
      <c r="E24" s="16"/>
      <c r="F24" s="16"/>
      <c r="G24" s="16"/>
      <c r="H24" s="16"/>
      <c r="I24" s="16"/>
      <c r="J24" s="15" t="s">
        <v>154</v>
      </c>
      <c r="K24" s="16"/>
      <c r="L24" s="16"/>
      <c r="M24" s="16"/>
      <c r="N24" s="16"/>
      <c r="O24" s="16"/>
      <c r="P24" s="16"/>
      <c r="Q24" s="16"/>
      <c r="R24" s="16"/>
    </row>
    <row r="25" spans="1:18" hidden="1" x14ac:dyDescent="0.2">
      <c r="A25" s="82"/>
      <c r="B25" s="13" t="s">
        <v>11</v>
      </c>
      <c r="C25" s="14" t="s">
        <v>110</v>
      </c>
      <c r="D25" s="16"/>
      <c r="E25" s="16"/>
      <c r="F25" s="16"/>
      <c r="G25" s="16"/>
      <c r="H25" s="16"/>
      <c r="I25" s="16"/>
      <c r="J25" s="15" t="s">
        <v>154</v>
      </c>
      <c r="K25" s="16"/>
      <c r="L25" s="16"/>
      <c r="M25" s="16"/>
      <c r="N25" s="16"/>
      <c r="O25" s="16"/>
      <c r="P25" s="16"/>
      <c r="Q25" s="16"/>
      <c r="R25" s="16"/>
    </row>
    <row r="26" spans="1:18" hidden="1" x14ac:dyDescent="0.2">
      <c r="A26" s="82"/>
      <c r="B26" s="13" t="s">
        <v>130</v>
      </c>
      <c r="C26" s="14" t="s">
        <v>110</v>
      </c>
      <c r="D26" s="16"/>
      <c r="E26" s="16"/>
      <c r="F26" s="16"/>
      <c r="G26" s="16"/>
      <c r="H26" s="16"/>
      <c r="I26" s="16"/>
      <c r="J26" s="15" t="s">
        <v>154</v>
      </c>
      <c r="K26" s="16"/>
      <c r="L26" s="16"/>
      <c r="M26" s="16"/>
      <c r="N26" s="16"/>
      <c r="O26" s="16"/>
      <c r="P26" s="16"/>
      <c r="Q26" s="16"/>
      <c r="R26" s="16"/>
    </row>
    <row r="27" spans="1:18" ht="25.5" x14ac:dyDescent="0.2">
      <c r="A27" s="82"/>
      <c r="B27" s="13" t="s">
        <v>131</v>
      </c>
      <c r="C27" s="14" t="s">
        <v>110</v>
      </c>
      <c r="D27" s="16"/>
      <c r="E27" s="16"/>
      <c r="F27" s="16"/>
      <c r="G27" s="16"/>
      <c r="H27" s="16"/>
      <c r="I27" s="16"/>
      <c r="J27" s="15"/>
      <c r="K27" s="15" t="s">
        <v>154</v>
      </c>
      <c r="L27" s="16"/>
      <c r="M27" s="16"/>
      <c r="N27" s="16"/>
      <c r="O27" s="16"/>
      <c r="P27" s="16"/>
      <c r="Q27" s="16"/>
      <c r="R27" s="16"/>
    </row>
    <row r="28" spans="1:18" ht="25.5" x14ac:dyDescent="0.2">
      <c r="A28" s="82"/>
      <c r="B28" s="13" t="s">
        <v>126</v>
      </c>
      <c r="C28" s="14" t="s">
        <v>110</v>
      </c>
      <c r="D28" s="16"/>
      <c r="E28" s="16"/>
      <c r="F28" s="16"/>
      <c r="G28" s="16"/>
      <c r="H28" s="16"/>
      <c r="I28" s="16"/>
      <c r="J28" s="16"/>
      <c r="K28" s="15" t="s">
        <v>154</v>
      </c>
      <c r="L28" s="16"/>
      <c r="M28" s="16"/>
      <c r="N28" s="16"/>
      <c r="O28" s="16"/>
      <c r="P28" s="16"/>
      <c r="Q28" s="16"/>
      <c r="R28" s="16"/>
    </row>
    <row r="29" spans="1:18" x14ac:dyDescent="0.2">
      <c r="A29" s="82"/>
      <c r="B29" s="13" t="s">
        <v>136</v>
      </c>
      <c r="C29" s="14"/>
      <c r="D29" s="16"/>
      <c r="E29" s="16"/>
      <c r="F29" s="16"/>
      <c r="G29" s="16"/>
      <c r="H29" s="16"/>
      <c r="I29" s="16"/>
      <c r="J29" s="16"/>
      <c r="K29" s="15" t="s">
        <v>154</v>
      </c>
      <c r="L29" s="16"/>
      <c r="M29" s="16"/>
      <c r="N29" s="16"/>
      <c r="O29" s="16"/>
      <c r="P29" s="16"/>
      <c r="Q29" s="16"/>
      <c r="R29" s="16"/>
    </row>
    <row r="30" spans="1:18" x14ac:dyDescent="0.2">
      <c r="A30" s="82"/>
      <c r="B30" s="13" t="s">
        <v>137</v>
      </c>
      <c r="C30" s="14"/>
      <c r="D30" s="16"/>
      <c r="E30" s="16"/>
      <c r="F30" s="16"/>
      <c r="G30" s="16"/>
      <c r="H30" s="16"/>
      <c r="I30" s="16"/>
      <c r="J30" s="16"/>
      <c r="K30" s="15" t="s">
        <v>154</v>
      </c>
      <c r="L30" s="16"/>
      <c r="M30" s="16"/>
      <c r="N30" s="16"/>
      <c r="O30" s="16"/>
      <c r="P30" s="16"/>
      <c r="Q30" s="16"/>
      <c r="R30" s="16"/>
    </row>
    <row r="31" spans="1:18" ht="25.5" x14ac:dyDescent="0.2">
      <c r="A31" s="82"/>
      <c r="B31" s="13" t="s">
        <v>127</v>
      </c>
      <c r="C31" s="14" t="s">
        <v>110</v>
      </c>
      <c r="D31" s="16"/>
      <c r="E31" s="16"/>
      <c r="F31" s="16"/>
      <c r="G31" s="16"/>
      <c r="H31" s="16"/>
      <c r="I31" s="16"/>
      <c r="J31" s="16"/>
      <c r="K31" s="15" t="s">
        <v>154</v>
      </c>
      <c r="L31" s="16"/>
      <c r="M31" s="16"/>
      <c r="N31" s="16"/>
      <c r="O31" s="16"/>
      <c r="P31" s="16"/>
      <c r="Q31" s="16"/>
      <c r="R31" s="16"/>
    </row>
    <row r="32" spans="1:18" ht="25.5" x14ac:dyDescent="0.2">
      <c r="A32" s="82"/>
      <c r="B32" s="13" t="s">
        <v>128</v>
      </c>
      <c r="C32" s="14" t="s">
        <v>110</v>
      </c>
      <c r="D32" s="16"/>
      <c r="E32" s="16"/>
      <c r="F32" s="16"/>
      <c r="G32" s="16"/>
      <c r="H32" s="16"/>
      <c r="I32" s="16"/>
      <c r="J32" s="16"/>
      <c r="K32" s="15" t="s">
        <v>154</v>
      </c>
      <c r="L32" s="16"/>
      <c r="M32" s="16"/>
      <c r="N32" s="16"/>
      <c r="O32" s="16"/>
      <c r="P32" s="16"/>
      <c r="Q32" s="16"/>
      <c r="R32" s="16"/>
    </row>
    <row r="33" spans="1:18" ht="51" hidden="1" x14ac:dyDescent="0.2">
      <c r="A33" s="82"/>
      <c r="B33" s="13" t="s">
        <v>132</v>
      </c>
      <c r="C33" s="14" t="s">
        <v>110</v>
      </c>
      <c r="D33" s="16"/>
      <c r="E33" s="16"/>
      <c r="F33" s="16"/>
      <c r="G33" s="16"/>
      <c r="H33" s="16"/>
      <c r="I33" s="16"/>
      <c r="J33" s="15" t="s">
        <v>154</v>
      </c>
      <c r="K33" s="15"/>
      <c r="L33" s="16"/>
      <c r="M33" s="16"/>
      <c r="N33" s="16"/>
      <c r="O33" s="16"/>
      <c r="P33" s="16"/>
      <c r="Q33" s="16"/>
      <c r="R33" s="16"/>
    </row>
    <row r="34" spans="1:18" hidden="1" x14ac:dyDescent="0.2">
      <c r="A34" s="82"/>
      <c r="B34" s="13" t="s">
        <v>134</v>
      </c>
      <c r="C34" s="14" t="s">
        <v>110</v>
      </c>
      <c r="D34" s="16"/>
      <c r="E34" s="16"/>
      <c r="F34" s="16"/>
      <c r="G34" s="16"/>
      <c r="H34" s="16"/>
      <c r="I34" s="16"/>
      <c r="J34" s="15" t="s">
        <v>154</v>
      </c>
      <c r="K34" s="16"/>
      <c r="L34" s="16"/>
      <c r="M34" s="16"/>
      <c r="N34" s="16"/>
      <c r="O34" s="16"/>
      <c r="P34" s="16"/>
      <c r="Q34" s="16"/>
      <c r="R34" s="16"/>
    </row>
    <row r="35" spans="1:18" hidden="1" x14ac:dyDescent="0.2">
      <c r="A35" s="82"/>
      <c r="B35" s="13" t="s">
        <v>135</v>
      </c>
      <c r="C35" s="14" t="s">
        <v>110</v>
      </c>
      <c r="D35" s="16"/>
      <c r="E35" s="16"/>
      <c r="F35" s="16"/>
      <c r="G35" s="16"/>
      <c r="H35" s="16"/>
      <c r="I35" s="16"/>
      <c r="J35" s="15" t="s">
        <v>154</v>
      </c>
      <c r="K35" s="16"/>
      <c r="L35" s="16"/>
      <c r="M35" s="16"/>
      <c r="N35" s="16"/>
      <c r="O35" s="16"/>
      <c r="P35" s="16"/>
      <c r="Q35" s="16"/>
      <c r="R35" s="16"/>
    </row>
  </sheetData>
  <autoFilter ref="B2:R35">
    <filterColumn colId="9">
      <customFilters>
        <customFilter operator="notEqual" val=" "/>
      </customFilters>
    </filterColumn>
  </autoFilter>
  <mergeCells count="4">
    <mergeCell ref="A3:A35"/>
    <mergeCell ref="A1:C1"/>
    <mergeCell ref="D1:K1"/>
    <mergeCell ref="L1:R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topLeftCell="A13" workbookViewId="0">
      <selection activeCell="C30" sqref="C30"/>
    </sheetView>
  </sheetViews>
  <sheetFormatPr defaultColWidth="8.85546875" defaultRowHeight="12.75" x14ac:dyDescent="0.2"/>
  <cols>
    <col min="1" max="1" width="8.85546875" style="50"/>
    <col min="2" max="2" width="48.7109375" style="50" customWidth="1"/>
    <col min="3" max="3" width="8.85546875" style="50"/>
    <col min="4" max="19" width="5.28515625" style="50" customWidth="1"/>
    <col min="20" max="16384" width="8.85546875" style="50"/>
  </cols>
  <sheetData>
    <row r="1" spans="1:19" x14ac:dyDescent="0.2">
      <c r="A1" s="51"/>
      <c r="B1" s="51"/>
      <c r="C1" s="51"/>
      <c r="D1" s="77" t="s">
        <v>260</v>
      </c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</row>
    <row r="2" spans="1:19" ht="65.45" customHeight="1" x14ac:dyDescent="0.2">
      <c r="A2" s="51"/>
      <c r="B2" s="51"/>
      <c r="C2" s="51"/>
      <c r="E2" s="58" t="s">
        <v>155</v>
      </c>
      <c r="G2" s="58" t="s">
        <v>174</v>
      </c>
      <c r="I2" s="58" t="s">
        <v>179</v>
      </c>
      <c r="K2" s="58" t="s">
        <v>200</v>
      </c>
      <c r="M2" s="58" t="s">
        <v>222</v>
      </c>
      <c r="O2" s="58" t="s">
        <v>221</v>
      </c>
      <c r="Q2" s="58" t="s">
        <v>199</v>
      </c>
      <c r="S2" s="58" t="s">
        <v>198</v>
      </c>
    </row>
    <row r="3" spans="1:19" x14ac:dyDescent="0.2">
      <c r="A3" s="52" t="s">
        <v>238</v>
      </c>
      <c r="B3" s="53" t="s">
        <v>239</v>
      </c>
      <c r="C3" s="52" t="s">
        <v>240</v>
      </c>
      <c r="D3" s="53" t="s">
        <v>258</v>
      </c>
      <c r="E3" s="52" t="s">
        <v>259</v>
      </c>
      <c r="F3" s="53" t="s">
        <v>258</v>
      </c>
      <c r="G3" s="52" t="s">
        <v>259</v>
      </c>
      <c r="H3" s="53" t="s">
        <v>258</v>
      </c>
      <c r="I3" s="52" t="s">
        <v>259</v>
      </c>
      <c r="J3" s="53" t="s">
        <v>258</v>
      </c>
      <c r="K3" s="52" t="s">
        <v>259</v>
      </c>
      <c r="L3" s="53" t="s">
        <v>258</v>
      </c>
      <c r="M3" s="52" t="s">
        <v>259</v>
      </c>
      <c r="N3" s="53" t="s">
        <v>258</v>
      </c>
      <c r="O3" s="52" t="s">
        <v>259</v>
      </c>
      <c r="P3" s="53" t="s">
        <v>258</v>
      </c>
      <c r="Q3" s="52" t="s">
        <v>259</v>
      </c>
      <c r="R3" s="53" t="s">
        <v>258</v>
      </c>
      <c r="S3" s="52" t="s">
        <v>259</v>
      </c>
    </row>
    <row r="4" spans="1:19" x14ac:dyDescent="0.2">
      <c r="A4" s="39" t="s">
        <v>261</v>
      </c>
      <c r="B4" s="40" t="s">
        <v>262</v>
      </c>
      <c r="C4" s="41">
        <v>2</v>
      </c>
      <c r="D4" s="41">
        <v>3</v>
      </c>
      <c r="E4" s="41">
        <f>$C4*D4</f>
        <v>6</v>
      </c>
      <c r="F4" s="42">
        <v>1</v>
      </c>
      <c r="G4" s="41">
        <f>$C4*F4</f>
        <v>2</v>
      </c>
      <c r="H4" s="42">
        <v>4</v>
      </c>
      <c r="I4" s="41">
        <f>$C4*H4</f>
        <v>8</v>
      </c>
      <c r="J4" s="41">
        <v>3</v>
      </c>
      <c r="K4" s="41">
        <f t="shared" ref="K4:K16" si="0">$C4*J4</f>
        <v>6</v>
      </c>
      <c r="L4" s="42">
        <v>2</v>
      </c>
      <c r="M4" s="41">
        <f>$C4*L4</f>
        <v>4</v>
      </c>
      <c r="N4" s="42">
        <v>2</v>
      </c>
      <c r="O4" s="41">
        <f>$C4*N4</f>
        <v>4</v>
      </c>
      <c r="P4" s="42">
        <v>4</v>
      </c>
      <c r="Q4" s="41">
        <f>$C4*P4</f>
        <v>8</v>
      </c>
      <c r="R4" s="42">
        <v>2</v>
      </c>
      <c r="S4" s="41">
        <f>$C4*R4</f>
        <v>4</v>
      </c>
    </row>
    <row r="5" spans="1:19" x14ac:dyDescent="0.2">
      <c r="A5" s="39" t="s">
        <v>263</v>
      </c>
      <c r="B5" s="40" t="s">
        <v>264</v>
      </c>
      <c r="C5" s="41">
        <v>1</v>
      </c>
      <c r="D5" s="41">
        <v>4</v>
      </c>
      <c r="E5" s="41">
        <f t="shared" ref="E5:G16" si="1">$C5*D5</f>
        <v>4</v>
      </c>
      <c r="F5" s="42">
        <v>4</v>
      </c>
      <c r="G5" s="41">
        <f t="shared" si="1"/>
        <v>4</v>
      </c>
      <c r="H5" s="42">
        <v>4</v>
      </c>
      <c r="I5" s="41">
        <f t="shared" ref="I5" si="2">$C5*H5</f>
        <v>4</v>
      </c>
      <c r="J5" s="41">
        <v>5</v>
      </c>
      <c r="K5" s="41">
        <f t="shared" si="0"/>
        <v>5</v>
      </c>
      <c r="L5" s="42">
        <v>3</v>
      </c>
      <c r="M5" s="41">
        <f t="shared" ref="M5" si="3">$C5*L5</f>
        <v>3</v>
      </c>
      <c r="N5" s="42">
        <v>3</v>
      </c>
      <c r="O5" s="41">
        <f t="shared" ref="O5" si="4">$C5*N5</f>
        <v>3</v>
      </c>
      <c r="P5" s="42">
        <v>4</v>
      </c>
      <c r="Q5" s="41">
        <f t="shared" ref="Q5" si="5">$C5*P5</f>
        <v>4</v>
      </c>
      <c r="R5" s="42">
        <v>3</v>
      </c>
      <c r="S5" s="41">
        <f t="shared" ref="S5" si="6">$C5*R5</f>
        <v>3</v>
      </c>
    </row>
    <row r="6" spans="1:19" x14ac:dyDescent="0.2">
      <c r="A6" s="39" t="s">
        <v>265</v>
      </c>
      <c r="B6" s="40" t="s">
        <v>266</v>
      </c>
      <c r="C6" s="41">
        <v>1</v>
      </c>
      <c r="D6" s="41">
        <v>4</v>
      </c>
      <c r="E6" s="41">
        <f t="shared" si="1"/>
        <v>4</v>
      </c>
      <c r="F6" s="42">
        <v>2</v>
      </c>
      <c r="G6" s="41">
        <f t="shared" si="1"/>
        <v>2</v>
      </c>
      <c r="H6" s="42">
        <v>4</v>
      </c>
      <c r="I6" s="41">
        <f t="shared" ref="I6" si="7">$C6*H6</f>
        <v>4</v>
      </c>
      <c r="J6" s="41">
        <v>5</v>
      </c>
      <c r="K6" s="41">
        <f t="shared" si="0"/>
        <v>5</v>
      </c>
      <c r="L6" s="42">
        <v>3</v>
      </c>
      <c r="M6" s="41">
        <f t="shared" ref="M6" si="8">$C6*L6</f>
        <v>3</v>
      </c>
      <c r="N6" s="42">
        <v>3</v>
      </c>
      <c r="O6" s="41">
        <f t="shared" ref="O6" si="9">$C6*N6</f>
        <v>3</v>
      </c>
      <c r="P6" s="42">
        <v>4</v>
      </c>
      <c r="Q6" s="41">
        <f t="shared" ref="Q6" si="10">$C6*P6</f>
        <v>4</v>
      </c>
      <c r="R6" s="42">
        <v>3</v>
      </c>
      <c r="S6" s="41">
        <f t="shared" ref="S6" si="11">$C6*R6</f>
        <v>3</v>
      </c>
    </row>
    <row r="7" spans="1:19" x14ac:dyDescent="0.2">
      <c r="A7" s="39" t="s">
        <v>267</v>
      </c>
      <c r="B7" s="40" t="s">
        <v>268</v>
      </c>
      <c r="C7" s="41">
        <v>1</v>
      </c>
      <c r="D7" s="41">
        <v>2</v>
      </c>
      <c r="E7" s="41">
        <f t="shared" si="1"/>
        <v>2</v>
      </c>
      <c r="F7" s="42">
        <v>2</v>
      </c>
      <c r="G7" s="41">
        <f t="shared" si="1"/>
        <v>2</v>
      </c>
      <c r="H7" s="42">
        <v>4</v>
      </c>
      <c r="I7" s="41">
        <f t="shared" ref="I7" si="12">$C7*H7</f>
        <v>4</v>
      </c>
      <c r="J7" s="41">
        <v>5</v>
      </c>
      <c r="K7" s="41">
        <f t="shared" si="0"/>
        <v>5</v>
      </c>
      <c r="L7" s="42">
        <v>4</v>
      </c>
      <c r="M7" s="41">
        <f t="shared" ref="M7" si="13">$C7*L7</f>
        <v>4</v>
      </c>
      <c r="N7" s="42">
        <v>4</v>
      </c>
      <c r="O7" s="41">
        <f t="shared" ref="O7" si="14">$C7*N7</f>
        <v>4</v>
      </c>
      <c r="P7" s="42">
        <v>4</v>
      </c>
      <c r="Q7" s="41">
        <f t="shared" ref="Q7" si="15">$C7*P7</f>
        <v>4</v>
      </c>
      <c r="R7" s="42">
        <v>4</v>
      </c>
      <c r="S7" s="41">
        <f t="shared" ref="S7" si="16">$C7*R7</f>
        <v>4</v>
      </c>
    </row>
    <row r="8" spans="1:19" x14ac:dyDescent="0.2">
      <c r="A8" s="39" t="s">
        <v>269</v>
      </c>
      <c r="B8" s="40" t="s">
        <v>270</v>
      </c>
      <c r="C8" s="41">
        <v>1</v>
      </c>
      <c r="D8" s="41">
        <v>3</v>
      </c>
      <c r="E8" s="41">
        <f t="shared" si="1"/>
        <v>3</v>
      </c>
      <c r="F8" s="42">
        <v>2</v>
      </c>
      <c r="G8" s="41">
        <f t="shared" si="1"/>
        <v>2</v>
      </c>
      <c r="H8" s="42">
        <v>3</v>
      </c>
      <c r="I8" s="41">
        <f t="shared" ref="I8" si="17">$C8*H8</f>
        <v>3</v>
      </c>
      <c r="J8" s="41">
        <v>5</v>
      </c>
      <c r="K8" s="41">
        <f t="shared" si="0"/>
        <v>5</v>
      </c>
      <c r="L8" s="42">
        <v>4</v>
      </c>
      <c r="M8" s="41">
        <f t="shared" ref="M8" si="18">$C8*L8</f>
        <v>4</v>
      </c>
      <c r="N8" s="42">
        <v>4</v>
      </c>
      <c r="O8" s="41">
        <f t="shared" ref="O8" si="19">$C8*N8</f>
        <v>4</v>
      </c>
      <c r="P8" s="42">
        <v>3</v>
      </c>
      <c r="Q8" s="41">
        <f t="shared" ref="Q8" si="20">$C8*P8</f>
        <v>3</v>
      </c>
      <c r="R8" s="42">
        <v>4</v>
      </c>
      <c r="S8" s="41">
        <f t="shared" ref="S8" si="21">$C8*R8</f>
        <v>4</v>
      </c>
    </row>
    <row r="9" spans="1:19" x14ac:dyDescent="0.2">
      <c r="A9" s="39" t="s">
        <v>271</v>
      </c>
      <c r="B9" s="40" t="s">
        <v>272</v>
      </c>
      <c r="C9" s="41">
        <v>0.5</v>
      </c>
      <c r="D9" s="41">
        <v>1</v>
      </c>
      <c r="E9" s="41">
        <f t="shared" si="1"/>
        <v>0.5</v>
      </c>
      <c r="F9" s="42">
        <v>4</v>
      </c>
      <c r="G9" s="41">
        <f t="shared" si="1"/>
        <v>2</v>
      </c>
      <c r="H9" s="42">
        <v>2</v>
      </c>
      <c r="I9" s="41">
        <f t="shared" ref="I9" si="22">$C9*H9</f>
        <v>1</v>
      </c>
      <c r="J9" s="41">
        <v>2</v>
      </c>
      <c r="K9" s="41">
        <f t="shared" si="0"/>
        <v>1</v>
      </c>
      <c r="L9" s="42">
        <v>3</v>
      </c>
      <c r="M9" s="41">
        <f t="shared" ref="M9" si="23">$C9*L9</f>
        <v>1.5</v>
      </c>
      <c r="N9" s="42">
        <v>3</v>
      </c>
      <c r="O9" s="41">
        <f t="shared" ref="O9" si="24">$C9*N9</f>
        <v>1.5</v>
      </c>
      <c r="P9" s="42">
        <v>2</v>
      </c>
      <c r="Q9" s="41">
        <f t="shared" ref="Q9" si="25">$C9*P9</f>
        <v>1</v>
      </c>
      <c r="R9" s="42">
        <v>3</v>
      </c>
      <c r="S9" s="41">
        <f t="shared" ref="S9" si="26">$C9*R9</f>
        <v>1.5</v>
      </c>
    </row>
    <row r="10" spans="1:19" x14ac:dyDescent="0.2">
      <c r="A10" s="39" t="s">
        <v>273</v>
      </c>
      <c r="B10" s="40" t="s">
        <v>274</v>
      </c>
      <c r="C10" s="41">
        <v>0.5</v>
      </c>
      <c r="D10" s="41">
        <v>3</v>
      </c>
      <c r="E10" s="41">
        <f t="shared" si="1"/>
        <v>1.5</v>
      </c>
      <c r="F10" s="42">
        <v>2</v>
      </c>
      <c r="G10" s="41">
        <f t="shared" si="1"/>
        <v>1</v>
      </c>
      <c r="H10" s="42">
        <v>4</v>
      </c>
      <c r="I10" s="41">
        <f t="shared" ref="I10" si="27">$C10*H10</f>
        <v>2</v>
      </c>
      <c r="J10" s="41">
        <v>5</v>
      </c>
      <c r="K10" s="41">
        <f t="shared" si="0"/>
        <v>2.5</v>
      </c>
      <c r="L10" s="42">
        <v>3</v>
      </c>
      <c r="M10" s="41">
        <f t="shared" ref="M10" si="28">$C10*L10</f>
        <v>1.5</v>
      </c>
      <c r="N10" s="42">
        <v>3</v>
      </c>
      <c r="O10" s="41">
        <f t="shared" ref="O10" si="29">$C10*N10</f>
        <v>1.5</v>
      </c>
      <c r="P10" s="42">
        <v>4</v>
      </c>
      <c r="Q10" s="41">
        <f t="shared" ref="Q10" si="30">$C10*P10</f>
        <v>2</v>
      </c>
      <c r="R10" s="42">
        <v>3</v>
      </c>
      <c r="S10" s="41">
        <f t="shared" ref="S10" si="31">$C10*R10</f>
        <v>1.5</v>
      </c>
    </row>
    <row r="11" spans="1:19" x14ac:dyDescent="0.2">
      <c r="A11" s="39" t="s">
        <v>275</v>
      </c>
      <c r="B11" s="40" t="s">
        <v>276</v>
      </c>
      <c r="C11" s="41">
        <v>1</v>
      </c>
      <c r="D11" s="41">
        <v>2</v>
      </c>
      <c r="E11" s="41">
        <f t="shared" si="1"/>
        <v>2</v>
      </c>
      <c r="F11" s="42">
        <v>4</v>
      </c>
      <c r="G11" s="41">
        <f t="shared" si="1"/>
        <v>4</v>
      </c>
      <c r="H11" s="42">
        <v>4</v>
      </c>
      <c r="I11" s="41">
        <f t="shared" ref="I11" si="32">$C11*H11</f>
        <v>4</v>
      </c>
      <c r="J11" s="41">
        <v>5</v>
      </c>
      <c r="K11" s="41">
        <f t="shared" si="0"/>
        <v>5</v>
      </c>
      <c r="L11" s="42">
        <v>4</v>
      </c>
      <c r="M11" s="41">
        <f t="shared" ref="M11" si="33">$C11*L11</f>
        <v>4</v>
      </c>
      <c r="N11" s="42">
        <v>4</v>
      </c>
      <c r="O11" s="41">
        <f t="shared" ref="O11" si="34">$C11*N11</f>
        <v>4</v>
      </c>
      <c r="P11" s="42">
        <v>4</v>
      </c>
      <c r="Q11" s="41">
        <f t="shared" ref="Q11" si="35">$C11*P11</f>
        <v>4</v>
      </c>
      <c r="R11" s="42">
        <v>4</v>
      </c>
      <c r="S11" s="41">
        <f t="shared" ref="S11" si="36">$C11*R11</f>
        <v>4</v>
      </c>
    </row>
    <row r="12" spans="1:19" x14ac:dyDescent="0.2">
      <c r="A12" s="39" t="s">
        <v>277</v>
      </c>
      <c r="B12" s="40" t="s">
        <v>278</v>
      </c>
      <c r="C12" s="41">
        <v>1</v>
      </c>
      <c r="D12" s="41">
        <v>4</v>
      </c>
      <c r="E12" s="41">
        <f t="shared" si="1"/>
        <v>4</v>
      </c>
      <c r="F12" s="42">
        <v>3</v>
      </c>
      <c r="G12" s="41">
        <f t="shared" si="1"/>
        <v>3</v>
      </c>
      <c r="H12" s="42">
        <v>4</v>
      </c>
      <c r="I12" s="41">
        <f t="shared" ref="I12" si="37">$C12*H12</f>
        <v>4</v>
      </c>
      <c r="J12" s="41">
        <v>4</v>
      </c>
      <c r="K12" s="41">
        <f t="shared" si="0"/>
        <v>4</v>
      </c>
      <c r="L12" s="42">
        <v>4</v>
      </c>
      <c r="M12" s="41">
        <f t="shared" ref="M12" si="38">$C12*L12</f>
        <v>4</v>
      </c>
      <c r="N12" s="42">
        <v>4</v>
      </c>
      <c r="O12" s="41">
        <f t="shared" ref="O12" si="39">$C12*N12</f>
        <v>4</v>
      </c>
      <c r="P12" s="42">
        <v>4</v>
      </c>
      <c r="Q12" s="41">
        <f t="shared" ref="Q12" si="40">$C12*P12</f>
        <v>4</v>
      </c>
      <c r="R12" s="42">
        <v>4</v>
      </c>
      <c r="S12" s="41">
        <f t="shared" ref="S12" si="41">$C12*R12</f>
        <v>4</v>
      </c>
    </row>
    <row r="13" spans="1:19" x14ac:dyDescent="0.2">
      <c r="A13" s="39" t="s">
        <v>279</v>
      </c>
      <c r="B13" s="40" t="s">
        <v>280</v>
      </c>
      <c r="C13" s="41">
        <v>1</v>
      </c>
      <c r="D13" s="41">
        <v>4</v>
      </c>
      <c r="E13" s="41">
        <f t="shared" si="1"/>
        <v>4</v>
      </c>
      <c r="F13" s="42">
        <v>3</v>
      </c>
      <c r="G13" s="41">
        <f t="shared" si="1"/>
        <v>3</v>
      </c>
      <c r="H13" s="42">
        <v>3</v>
      </c>
      <c r="I13" s="41">
        <f t="shared" ref="I13" si="42">$C13*H13</f>
        <v>3</v>
      </c>
      <c r="J13" s="41">
        <v>3</v>
      </c>
      <c r="K13" s="41">
        <f t="shared" si="0"/>
        <v>3</v>
      </c>
      <c r="L13" s="42">
        <v>3</v>
      </c>
      <c r="M13" s="41">
        <f t="shared" ref="M13" si="43">$C13*L13</f>
        <v>3</v>
      </c>
      <c r="N13" s="42">
        <v>3</v>
      </c>
      <c r="O13" s="41">
        <f t="shared" ref="O13" si="44">$C13*N13</f>
        <v>3</v>
      </c>
      <c r="P13" s="42">
        <v>3</v>
      </c>
      <c r="Q13" s="41">
        <f t="shared" ref="Q13" si="45">$C13*P13</f>
        <v>3</v>
      </c>
      <c r="R13" s="42">
        <v>3</v>
      </c>
      <c r="S13" s="41">
        <f t="shared" ref="S13" si="46">$C13*R13</f>
        <v>3</v>
      </c>
    </row>
    <row r="14" spans="1:19" x14ac:dyDescent="0.2">
      <c r="A14" s="39" t="s">
        <v>281</v>
      </c>
      <c r="B14" s="40" t="s">
        <v>282</v>
      </c>
      <c r="C14" s="41">
        <v>1</v>
      </c>
      <c r="D14" s="41">
        <v>4</v>
      </c>
      <c r="E14" s="41">
        <f t="shared" si="1"/>
        <v>4</v>
      </c>
      <c r="F14" s="42">
        <v>4</v>
      </c>
      <c r="G14" s="41">
        <f t="shared" si="1"/>
        <v>4</v>
      </c>
      <c r="H14" s="42">
        <v>4</v>
      </c>
      <c r="I14" s="41">
        <f t="shared" ref="I14" si="47">$C14*H14</f>
        <v>4</v>
      </c>
      <c r="J14" s="41">
        <v>3</v>
      </c>
      <c r="K14" s="41">
        <f t="shared" si="0"/>
        <v>3</v>
      </c>
      <c r="L14" s="42">
        <v>4</v>
      </c>
      <c r="M14" s="41">
        <f t="shared" ref="M14" si="48">$C14*L14</f>
        <v>4</v>
      </c>
      <c r="N14" s="42">
        <v>4</v>
      </c>
      <c r="O14" s="41">
        <f t="shared" ref="O14" si="49">$C14*N14</f>
        <v>4</v>
      </c>
      <c r="P14" s="42">
        <v>4</v>
      </c>
      <c r="Q14" s="41">
        <f t="shared" ref="Q14" si="50">$C14*P14</f>
        <v>4</v>
      </c>
      <c r="R14" s="42">
        <v>4</v>
      </c>
      <c r="S14" s="41">
        <f t="shared" ref="S14" si="51">$C14*R14</f>
        <v>4</v>
      </c>
    </row>
    <row r="15" spans="1:19" x14ac:dyDescent="0.2">
      <c r="A15" s="39" t="s">
        <v>283</v>
      </c>
      <c r="B15" s="40" t="s">
        <v>284</v>
      </c>
      <c r="C15" s="41">
        <v>1</v>
      </c>
      <c r="D15" s="41">
        <v>3</v>
      </c>
      <c r="E15" s="41">
        <f t="shared" si="1"/>
        <v>3</v>
      </c>
      <c r="F15" s="42">
        <v>4</v>
      </c>
      <c r="G15" s="41">
        <f t="shared" si="1"/>
        <v>4</v>
      </c>
      <c r="H15" s="42">
        <v>3</v>
      </c>
      <c r="I15" s="41">
        <f t="shared" ref="I15" si="52">$C15*H15</f>
        <v>3</v>
      </c>
      <c r="J15" s="41">
        <v>4</v>
      </c>
      <c r="K15" s="41">
        <f t="shared" si="0"/>
        <v>4</v>
      </c>
      <c r="L15" s="42">
        <v>3</v>
      </c>
      <c r="M15" s="41">
        <f t="shared" ref="M15" si="53">$C15*L15</f>
        <v>3</v>
      </c>
      <c r="N15" s="42">
        <v>3</v>
      </c>
      <c r="O15" s="41">
        <f t="shared" ref="O15" si="54">$C15*N15</f>
        <v>3</v>
      </c>
      <c r="P15" s="42">
        <v>3</v>
      </c>
      <c r="Q15" s="41">
        <f t="shared" ref="Q15" si="55">$C15*P15</f>
        <v>3</v>
      </c>
      <c r="R15" s="42">
        <v>3</v>
      </c>
      <c r="S15" s="41">
        <f t="shared" ref="S15" si="56">$C15*R15</f>
        <v>3</v>
      </c>
    </row>
    <row r="16" spans="1:19" x14ac:dyDescent="0.2">
      <c r="A16" s="39" t="s">
        <v>285</v>
      </c>
      <c r="B16" s="40" t="s">
        <v>286</v>
      </c>
      <c r="C16" s="41">
        <v>1</v>
      </c>
      <c r="D16" s="41">
        <v>2</v>
      </c>
      <c r="E16" s="41">
        <f t="shared" si="1"/>
        <v>2</v>
      </c>
      <c r="F16" s="42">
        <v>3</v>
      </c>
      <c r="G16" s="41">
        <f t="shared" si="1"/>
        <v>3</v>
      </c>
      <c r="H16" s="42">
        <v>4</v>
      </c>
      <c r="I16" s="41">
        <f t="shared" ref="I16" si="57">$C16*H16</f>
        <v>4</v>
      </c>
      <c r="J16" s="41">
        <v>3</v>
      </c>
      <c r="K16" s="41">
        <f t="shared" si="0"/>
        <v>3</v>
      </c>
      <c r="L16" s="42">
        <v>3</v>
      </c>
      <c r="M16" s="41">
        <f t="shared" ref="M16" si="58">$C16*L16</f>
        <v>3</v>
      </c>
      <c r="N16" s="42">
        <v>3</v>
      </c>
      <c r="O16" s="41">
        <f t="shared" ref="O16" si="59">$C16*N16</f>
        <v>3</v>
      </c>
      <c r="P16" s="42">
        <v>4</v>
      </c>
      <c r="Q16" s="41">
        <f t="shared" ref="Q16" si="60">$C16*P16</f>
        <v>4</v>
      </c>
      <c r="R16" s="42">
        <v>3</v>
      </c>
      <c r="S16" s="41">
        <f t="shared" ref="S16" si="61">$C16*R16</f>
        <v>3</v>
      </c>
    </row>
    <row r="17" spans="1:19" x14ac:dyDescent="0.2">
      <c r="A17" s="39"/>
      <c r="B17" s="40" t="s">
        <v>257</v>
      </c>
      <c r="C17" s="41"/>
      <c r="D17" s="41"/>
      <c r="E17" s="41">
        <f>SUM(E4:E16)</f>
        <v>40</v>
      </c>
      <c r="F17" s="42"/>
      <c r="G17" s="41">
        <f>SUM(G4:G16)</f>
        <v>36</v>
      </c>
      <c r="H17" s="42"/>
      <c r="I17" s="41">
        <f>SUM(I4:I16)</f>
        <v>48</v>
      </c>
      <c r="J17" s="42"/>
      <c r="K17" s="41">
        <f>SUM(K4:K16)</f>
        <v>51.5</v>
      </c>
      <c r="L17" s="42"/>
      <c r="M17" s="41">
        <f>SUM(M4:M16)</f>
        <v>42</v>
      </c>
      <c r="N17" s="42"/>
      <c r="O17" s="41">
        <f>SUM(O4:O16)</f>
        <v>42</v>
      </c>
      <c r="P17" s="42"/>
      <c r="Q17" s="41">
        <f>SUM(Q4:Q16)</f>
        <v>48</v>
      </c>
      <c r="R17" s="42"/>
      <c r="S17" s="41">
        <f>SUM(S4:S16)</f>
        <v>42</v>
      </c>
    </row>
    <row r="18" spans="1:19" x14ac:dyDescent="0.2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</row>
    <row r="19" spans="1:19" x14ac:dyDescent="0.2">
      <c r="A19" s="39"/>
      <c r="B19" s="40" t="s">
        <v>287</v>
      </c>
      <c r="C19" s="41"/>
      <c r="D19" s="41"/>
      <c r="E19" s="41">
        <f>0.6 + (0.01*E17)</f>
        <v>1</v>
      </c>
      <c r="F19" s="42"/>
      <c r="G19" s="41">
        <f>0.6 + (0.01*G17)</f>
        <v>0.96</v>
      </c>
      <c r="H19" s="42"/>
      <c r="I19" s="41">
        <f>0.6 + (0.01*I17)</f>
        <v>1.08</v>
      </c>
      <c r="J19" s="42"/>
      <c r="K19" s="41">
        <f>0.6 + (0.01*K17)</f>
        <v>1.115</v>
      </c>
      <c r="L19" s="42"/>
      <c r="M19" s="41">
        <f>0.6 + (0.01*M17)</f>
        <v>1.02</v>
      </c>
      <c r="N19" s="42"/>
      <c r="O19" s="41">
        <f>0.6 + (0.01*O17)</f>
        <v>1.02</v>
      </c>
      <c r="P19" s="42"/>
      <c r="Q19" s="41">
        <f>0.6 + (0.01*Q17)</f>
        <v>1.08</v>
      </c>
      <c r="R19" s="42"/>
      <c r="S19" s="41">
        <f>0.6 + (0.01*S17)</f>
        <v>1.02</v>
      </c>
    </row>
    <row r="21" spans="1:19" x14ac:dyDescent="0.2">
      <c r="B21" s="50" t="s">
        <v>209</v>
      </c>
      <c r="C21" s="50" t="s">
        <v>287</v>
      </c>
    </row>
    <row r="22" spans="1:19" x14ac:dyDescent="0.2">
      <c r="B22" s="70" t="s">
        <v>155</v>
      </c>
      <c r="C22" s="50">
        <f>E19</f>
        <v>1</v>
      </c>
    </row>
    <row r="23" spans="1:19" x14ac:dyDescent="0.2">
      <c r="B23" s="70" t="s">
        <v>174</v>
      </c>
      <c r="C23" s="50">
        <f>G19</f>
        <v>0.96</v>
      </c>
    </row>
    <row r="24" spans="1:19" x14ac:dyDescent="0.2">
      <c r="B24" s="70" t="s">
        <v>179</v>
      </c>
      <c r="C24" s="50">
        <f>I19</f>
        <v>1.08</v>
      </c>
    </row>
    <row r="25" spans="1:19" x14ac:dyDescent="0.2">
      <c r="B25" s="70" t="s">
        <v>200</v>
      </c>
      <c r="C25" s="50">
        <f>K19</f>
        <v>1.115</v>
      </c>
    </row>
    <row r="26" spans="1:19" x14ac:dyDescent="0.2">
      <c r="B26" s="70" t="s">
        <v>222</v>
      </c>
      <c r="C26" s="50">
        <f>M19</f>
        <v>1.02</v>
      </c>
    </row>
    <row r="27" spans="1:19" x14ac:dyDescent="0.2">
      <c r="B27" s="70" t="s">
        <v>221</v>
      </c>
      <c r="C27" s="50">
        <f>O19</f>
        <v>1.02</v>
      </c>
    </row>
    <row r="28" spans="1:19" x14ac:dyDescent="0.2">
      <c r="B28" s="70" t="s">
        <v>199</v>
      </c>
      <c r="C28" s="50">
        <f>Q19</f>
        <v>1.08</v>
      </c>
    </row>
    <row r="29" spans="1:19" x14ac:dyDescent="0.2">
      <c r="B29" s="70" t="s">
        <v>198</v>
      </c>
      <c r="C29" s="50">
        <f>S19</f>
        <v>1.02</v>
      </c>
    </row>
  </sheetData>
  <mergeCells count="1">
    <mergeCell ref="D1:S1"/>
  </mergeCells>
  <conditionalFormatting sqref="E19:S19">
    <cfRule type="cellIs" dxfId="24" priority="1" operator="greater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"/>
  <sheetViews>
    <sheetView topLeftCell="A6" workbookViewId="0">
      <selection activeCell="C25" sqref="C25"/>
    </sheetView>
  </sheetViews>
  <sheetFormatPr defaultRowHeight="12.75" x14ac:dyDescent="0.2"/>
  <cols>
    <col min="2" max="2" width="47.7109375" customWidth="1"/>
    <col min="4" max="19" width="6.28515625" customWidth="1"/>
  </cols>
  <sheetData>
    <row r="1" spans="1:19" x14ac:dyDescent="0.2">
      <c r="A1" s="64"/>
      <c r="B1" s="64"/>
      <c r="C1" s="64"/>
      <c r="D1" s="78" t="s">
        <v>260</v>
      </c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</row>
    <row r="2" spans="1:19" ht="110.45" customHeight="1" x14ac:dyDescent="0.2">
      <c r="A2" s="64"/>
      <c r="B2" s="64"/>
      <c r="C2" s="64"/>
      <c r="D2" s="64"/>
      <c r="E2" s="65" t="s">
        <v>155</v>
      </c>
      <c r="F2" s="64"/>
      <c r="G2" s="65" t="s">
        <v>174</v>
      </c>
      <c r="H2" s="64"/>
      <c r="I2" s="65" t="s">
        <v>179</v>
      </c>
      <c r="J2" s="64"/>
      <c r="K2" s="65" t="s">
        <v>200</v>
      </c>
      <c r="L2" s="64"/>
      <c r="M2" s="65" t="s">
        <v>222</v>
      </c>
      <c r="N2" s="64"/>
      <c r="O2" s="65" t="s">
        <v>221</v>
      </c>
      <c r="P2" s="64"/>
      <c r="Q2" s="65" t="s">
        <v>199</v>
      </c>
      <c r="R2" s="64"/>
      <c r="S2" s="65" t="s">
        <v>198</v>
      </c>
    </row>
    <row r="3" spans="1:19" x14ac:dyDescent="0.2">
      <c r="A3" s="66" t="s">
        <v>238</v>
      </c>
      <c r="B3" s="67" t="s">
        <v>239</v>
      </c>
      <c r="C3" s="66" t="s">
        <v>240</v>
      </c>
      <c r="D3" s="66" t="s">
        <v>258</v>
      </c>
      <c r="E3" s="66" t="s">
        <v>259</v>
      </c>
      <c r="F3" s="66" t="s">
        <v>258</v>
      </c>
      <c r="G3" s="66" t="s">
        <v>259</v>
      </c>
      <c r="H3" s="66" t="s">
        <v>258</v>
      </c>
      <c r="I3" s="66" t="s">
        <v>259</v>
      </c>
      <c r="J3" s="66" t="s">
        <v>258</v>
      </c>
      <c r="K3" s="66" t="s">
        <v>259</v>
      </c>
      <c r="L3" s="66" t="s">
        <v>258</v>
      </c>
      <c r="M3" s="66" t="s">
        <v>259</v>
      </c>
      <c r="N3" s="66" t="s">
        <v>258</v>
      </c>
      <c r="O3" s="66" t="s">
        <v>259</v>
      </c>
      <c r="P3" s="66" t="s">
        <v>258</v>
      </c>
      <c r="Q3" s="66" t="s">
        <v>259</v>
      </c>
      <c r="R3" s="66" t="s">
        <v>258</v>
      </c>
      <c r="S3" s="66" t="s">
        <v>259</v>
      </c>
    </row>
    <row r="4" spans="1:19" x14ac:dyDescent="0.2">
      <c r="A4" s="61" t="s">
        <v>241</v>
      </c>
      <c r="B4" s="62" t="s">
        <v>242</v>
      </c>
      <c r="C4" s="63">
        <v>1.5</v>
      </c>
      <c r="D4" s="63">
        <v>4</v>
      </c>
      <c r="E4" s="63">
        <f>$C$4*D4</f>
        <v>6</v>
      </c>
      <c r="F4" s="60">
        <v>4</v>
      </c>
      <c r="G4" s="63">
        <f>$C4*F4</f>
        <v>6</v>
      </c>
      <c r="H4" s="63">
        <v>4</v>
      </c>
      <c r="I4" s="63">
        <f>$C4*H4</f>
        <v>6</v>
      </c>
      <c r="J4" s="60">
        <v>3</v>
      </c>
      <c r="K4" s="63">
        <f t="shared" ref="K4:K11" si="0">$C4*J4</f>
        <v>4.5</v>
      </c>
      <c r="L4" s="60">
        <v>4</v>
      </c>
      <c r="M4" s="63">
        <f t="shared" ref="M4:M11" si="1">$C4*L4</f>
        <v>6</v>
      </c>
      <c r="N4" s="60">
        <v>4</v>
      </c>
      <c r="O4" s="63">
        <f t="shared" ref="O4:O11" si="2">$C4*N4</f>
        <v>6</v>
      </c>
      <c r="P4" s="63">
        <v>4</v>
      </c>
      <c r="Q4" s="63">
        <f t="shared" ref="Q4:Q11" si="3">$C4*P4</f>
        <v>6</v>
      </c>
      <c r="R4" s="63">
        <v>4</v>
      </c>
      <c r="S4" s="63">
        <f t="shared" ref="S4:S11" si="4">$C4*R4</f>
        <v>6</v>
      </c>
    </row>
    <row r="5" spans="1:19" x14ac:dyDescent="0.2">
      <c r="A5" s="61" t="s">
        <v>243</v>
      </c>
      <c r="B5" s="62" t="s">
        <v>244</v>
      </c>
      <c r="C5" s="63">
        <v>0.5</v>
      </c>
      <c r="D5" s="63">
        <v>3</v>
      </c>
      <c r="E5" s="63">
        <f>$C$5*D5</f>
        <v>1.5</v>
      </c>
      <c r="F5" s="60">
        <v>4</v>
      </c>
      <c r="G5" s="63">
        <f t="shared" ref="G5:G11" si="5">$C5*F5</f>
        <v>2</v>
      </c>
      <c r="H5" s="63">
        <v>2</v>
      </c>
      <c r="I5" s="63">
        <f t="shared" ref="I5:I11" si="6">$C5*H5</f>
        <v>1</v>
      </c>
      <c r="J5" s="60">
        <v>2</v>
      </c>
      <c r="K5" s="63">
        <f t="shared" si="0"/>
        <v>1</v>
      </c>
      <c r="L5" s="60">
        <v>4</v>
      </c>
      <c r="M5" s="63">
        <f t="shared" si="1"/>
        <v>2</v>
      </c>
      <c r="N5" s="60">
        <v>4</v>
      </c>
      <c r="O5" s="63">
        <f t="shared" si="2"/>
        <v>2</v>
      </c>
      <c r="P5" s="63">
        <v>2</v>
      </c>
      <c r="Q5" s="63">
        <f t="shared" si="3"/>
        <v>1</v>
      </c>
      <c r="R5" s="63">
        <v>2</v>
      </c>
      <c r="S5" s="63">
        <f t="shared" si="4"/>
        <v>1</v>
      </c>
    </row>
    <row r="6" spans="1:19" x14ac:dyDescent="0.2">
      <c r="A6" s="61" t="s">
        <v>245</v>
      </c>
      <c r="B6" s="62" t="s">
        <v>246</v>
      </c>
      <c r="C6" s="63">
        <v>1</v>
      </c>
      <c r="D6" s="63">
        <v>3</v>
      </c>
      <c r="E6" s="63">
        <f>$C$6*D6</f>
        <v>3</v>
      </c>
      <c r="F6" s="60">
        <v>4</v>
      </c>
      <c r="G6" s="63">
        <f t="shared" si="5"/>
        <v>4</v>
      </c>
      <c r="H6" s="63">
        <v>3</v>
      </c>
      <c r="I6" s="63">
        <f t="shared" si="6"/>
        <v>3</v>
      </c>
      <c r="J6" s="60">
        <v>3</v>
      </c>
      <c r="K6" s="63">
        <f t="shared" si="0"/>
        <v>3</v>
      </c>
      <c r="L6" s="60">
        <v>4</v>
      </c>
      <c r="M6" s="63">
        <f t="shared" si="1"/>
        <v>4</v>
      </c>
      <c r="N6" s="60">
        <v>4</v>
      </c>
      <c r="O6" s="63">
        <f t="shared" si="2"/>
        <v>4</v>
      </c>
      <c r="P6" s="63">
        <v>3</v>
      </c>
      <c r="Q6" s="63">
        <f t="shared" si="3"/>
        <v>3</v>
      </c>
      <c r="R6" s="63">
        <v>3</v>
      </c>
      <c r="S6" s="63">
        <f t="shared" si="4"/>
        <v>3</v>
      </c>
    </row>
    <row r="7" spans="1:19" x14ac:dyDescent="0.2">
      <c r="A7" s="61" t="s">
        <v>247</v>
      </c>
      <c r="B7" s="62" t="s">
        <v>248</v>
      </c>
      <c r="C7" s="63">
        <v>0.5</v>
      </c>
      <c r="D7" s="63">
        <v>4</v>
      </c>
      <c r="E7" s="63">
        <f>$C$7*D7</f>
        <v>2</v>
      </c>
      <c r="F7" s="60">
        <v>4</v>
      </c>
      <c r="G7" s="63">
        <f t="shared" si="5"/>
        <v>2</v>
      </c>
      <c r="H7" s="63">
        <v>3</v>
      </c>
      <c r="I7" s="63">
        <f t="shared" si="6"/>
        <v>1.5</v>
      </c>
      <c r="J7" s="60">
        <v>4</v>
      </c>
      <c r="K7" s="63">
        <f t="shared" si="0"/>
        <v>2</v>
      </c>
      <c r="L7" s="60">
        <v>4</v>
      </c>
      <c r="M7" s="63">
        <f t="shared" si="1"/>
        <v>2</v>
      </c>
      <c r="N7" s="60">
        <v>4</v>
      </c>
      <c r="O7" s="63">
        <f t="shared" si="2"/>
        <v>2</v>
      </c>
      <c r="P7" s="63">
        <v>3</v>
      </c>
      <c r="Q7" s="63">
        <f t="shared" si="3"/>
        <v>1.5</v>
      </c>
      <c r="R7" s="63">
        <v>3</v>
      </c>
      <c r="S7" s="63">
        <f t="shared" si="4"/>
        <v>1.5</v>
      </c>
    </row>
    <row r="8" spans="1:19" x14ac:dyDescent="0.2">
      <c r="A8" s="61" t="s">
        <v>249</v>
      </c>
      <c r="B8" s="62" t="s">
        <v>250</v>
      </c>
      <c r="C8" s="63">
        <v>1</v>
      </c>
      <c r="D8" s="63">
        <v>4</v>
      </c>
      <c r="E8" s="63">
        <f>$C$8*D8</f>
        <v>4</v>
      </c>
      <c r="F8" s="60">
        <v>4</v>
      </c>
      <c r="G8" s="63">
        <f t="shared" si="5"/>
        <v>4</v>
      </c>
      <c r="H8" s="63">
        <v>3</v>
      </c>
      <c r="I8" s="63">
        <f t="shared" si="6"/>
        <v>3</v>
      </c>
      <c r="J8" s="60">
        <v>4</v>
      </c>
      <c r="K8" s="63">
        <f t="shared" si="0"/>
        <v>4</v>
      </c>
      <c r="L8" s="60">
        <v>3</v>
      </c>
      <c r="M8" s="63">
        <f t="shared" si="1"/>
        <v>3</v>
      </c>
      <c r="N8" s="60">
        <v>3</v>
      </c>
      <c r="O8" s="63">
        <f t="shared" si="2"/>
        <v>3</v>
      </c>
      <c r="P8" s="63">
        <v>3</v>
      </c>
      <c r="Q8" s="63">
        <f t="shared" si="3"/>
        <v>3</v>
      </c>
      <c r="R8" s="63">
        <v>3</v>
      </c>
      <c r="S8" s="63">
        <f t="shared" si="4"/>
        <v>3</v>
      </c>
    </row>
    <row r="9" spans="1:19" x14ac:dyDescent="0.2">
      <c r="A9" s="61" t="s">
        <v>251</v>
      </c>
      <c r="B9" s="62" t="s">
        <v>252</v>
      </c>
      <c r="C9" s="63">
        <v>2</v>
      </c>
      <c r="D9" s="63">
        <v>4</v>
      </c>
      <c r="E9" s="63">
        <f>$C$9*D9</f>
        <v>8</v>
      </c>
      <c r="F9" s="60">
        <v>5</v>
      </c>
      <c r="G9" s="63">
        <f t="shared" si="5"/>
        <v>10</v>
      </c>
      <c r="H9" s="63">
        <v>2</v>
      </c>
      <c r="I9" s="63">
        <f t="shared" si="6"/>
        <v>4</v>
      </c>
      <c r="J9" s="60">
        <v>3</v>
      </c>
      <c r="K9" s="63">
        <f t="shared" si="0"/>
        <v>6</v>
      </c>
      <c r="L9" s="60">
        <v>4</v>
      </c>
      <c r="M9" s="63">
        <f t="shared" si="1"/>
        <v>8</v>
      </c>
      <c r="N9" s="60">
        <v>4</v>
      </c>
      <c r="O9" s="63">
        <f t="shared" si="2"/>
        <v>8</v>
      </c>
      <c r="P9" s="63">
        <v>2</v>
      </c>
      <c r="Q9" s="63">
        <f t="shared" si="3"/>
        <v>4</v>
      </c>
      <c r="R9" s="63">
        <v>2</v>
      </c>
      <c r="S9" s="63">
        <f t="shared" si="4"/>
        <v>4</v>
      </c>
    </row>
    <row r="10" spans="1:19" x14ac:dyDescent="0.2">
      <c r="A10" s="61" t="s">
        <v>253</v>
      </c>
      <c r="B10" s="62" t="s">
        <v>254</v>
      </c>
      <c r="C10" s="63">
        <v>-1</v>
      </c>
      <c r="D10" s="63">
        <v>0</v>
      </c>
      <c r="E10" s="63">
        <f>$C$10*D10</f>
        <v>0</v>
      </c>
      <c r="F10" s="60">
        <v>1</v>
      </c>
      <c r="G10" s="63">
        <f t="shared" si="5"/>
        <v>-1</v>
      </c>
      <c r="H10" s="63">
        <v>1</v>
      </c>
      <c r="I10" s="63">
        <f t="shared" si="6"/>
        <v>-1</v>
      </c>
      <c r="J10" s="60">
        <v>1</v>
      </c>
      <c r="K10" s="63">
        <f t="shared" si="0"/>
        <v>-1</v>
      </c>
      <c r="L10" s="60">
        <v>2</v>
      </c>
      <c r="M10" s="63">
        <f t="shared" si="1"/>
        <v>-2</v>
      </c>
      <c r="N10" s="60">
        <v>2</v>
      </c>
      <c r="O10" s="63">
        <f t="shared" si="2"/>
        <v>-2</v>
      </c>
      <c r="P10" s="63">
        <v>1</v>
      </c>
      <c r="Q10" s="63">
        <f t="shared" si="3"/>
        <v>-1</v>
      </c>
      <c r="R10" s="63">
        <v>1</v>
      </c>
      <c r="S10" s="63">
        <f t="shared" si="4"/>
        <v>-1</v>
      </c>
    </row>
    <row r="11" spans="1:19" x14ac:dyDescent="0.2">
      <c r="A11" s="61" t="s">
        <v>255</v>
      </c>
      <c r="B11" s="62" t="s">
        <v>256</v>
      </c>
      <c r="C11" s="63">
        <v>-1</v>
      </c>
      <c r="D11" s="63">
        <v>3</v>
      </c>
      <c r="E11" s="63">
        <f>$C$11*D11</f>
        <v>-3</v>
      </c>
      <c r="F11" s="60">
        <v>4</v>
      </c>
      <c r="G11" s="63">
        <f t="shared" si="5"/>
        <v>-4</v>
      </c>
      <c r="H11" s="63">
        <v>3</v>
      </c>
      <c r="I11" s="63">
        <f t="shared" si="6"/>
        <v>-3</v>
      </c>
      <c r="J11" s="60">
        <v>3</v>
      </c>
      <c r="K11" s="63">
        <f t="shared" si="0"/>
        <v>-3</v>
      </c>
      <c r="L11" s="60">
        <v>1</v>
      </c>
      <c r="M11" s="63">
        <f t="shared" si="1"/>
        <v>-1</v>
      </c>
      <c r="N11" s="60">
        <v>1</v>
      </c>
      <c r="O11" s="63">
        <f t="shared" si="2"/>
        <v>-1</v>
      </c>
      <c r="P11" s="63">
        <v>3</v>
      </c>
      <c r="Q11" s="63">
        <f t="shared" si="3"/>
        <v>-3</v>
      </c>
      <c r="R11" s="63">
        <v>3</v>
      </c>
      <c r="S11" s="63">
        <f t="shared" si="4"/>
        <v>-3</v>
      </c>
    </row>
    <row r="12" spans="1:19" x14ac:dyDescent="0.2">
      <c r="A12" s="61"/>
      <c r="B12" s="62" t="s">
        <v>257</v>
      </c>
      <c r="C12" s="63"/>
      <c r="D12" s="63"/>
      <c r="E12" s="63">
        <f>SUM(E4:E11)</f>
        <v>21.5</v>
      </c>
      <c r="F12" s="60"/>
      <c r="G12" s="63">
        <f>SUM(G4:G11)</f>
        <v>23</v>
      </c>
      <c r="H12" s="60"/>
      <c r="I12" s="63">
        <f>SUM(I4:I11)</f>
        <v>14.5</v>
      </c>
      <c r="J12" s="60"/>
      <c r="K12" s="63">
        <f>SUM(K4:K11)</f>
        <v>16.5</v>
      </c>
      <c r="L12" s="60"/>
      <c r="M12" s="63">
        <f>SUM(M4:M11)</f>
        <v>22</v>
      </c>
      <c r="N12" s="60"/>
      <c r="O12" s="63">
        <f>SUM(O4:O11)</f>
        <v>22</v>
      </c>
      <c r="P12" s="60"/>
      <c r="Q12" s="63">
        <f>SUM(Q4:Q11)</f>
        <v>14.5</v>
      </c>
      <c r="R12" s="60"/>
      <c r="S12" s="63">
        <f>SUM(S4:S11)</f>
        <v>14.5</v>
      </c>
    </row>
    <row r="13" spans="1:19" x14ac:dyDescent="0.2">
      <c r="A13" s="60"/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</row>
    <row r="14" spans="1:19" x14ac:dyDescent="0.2">
      <c r="A14" s="60"/>
      <c r="B14" s="60"/>
      <c r="C14" s="60"/>
      <c r="D14" s="60"/>
      <c r="E14" s="68">
        <f>1.4+(-0.03*E12)</f>
        <v>0.75499999999999989</v>
      </c>
      <c r="F14" s="60"/>
      <c r="G14" s="68">
        <f>1.4+(-0.03*G12)</f>
        <v>0.71</v>
      </c>
      <c r="H14" s="60"/>
      <c r="I14" s="68">
        <f>1.4+(-0.03*I12)</f>
        <v>0.96499999999999986</v>
      </c>
      <c r="J14" s="60"/>
      <c r="K14" s="68">
        <f>1.4+(-0.03*K12)</f>
        <v>0.90499999999999992</v>
      </c>
      <c r="L14" s="60"/>
      <c r="M14" s="68">
        <f>1.4+(-0.03*M12)</f>
        <v>0.74</v>
      </c>
      <c r="N14" s="60"/>
      <c r="O14" s="68">
        <f>1.4+(-0.03*O12)</f>
        <v>0.74</v>
      </c>
      <c r="P14" s="60"/>
      <c r="Q14" s="68">
        <f>1.4+(-0.03*Q12)</f>
        <v>0.96499999999999986</v>
      </c>
      <c r="R14" s="60"/>
      <c r="S14" s="68">
        <f>1.4+(-0.03*S12)</f>
        <v>0.96499999999999986</v>
      </c>
    </row>
    <row r="17" spans="2:3" x14ac:dyDescent="0.2">
      <c r="B17" t="s">
        <v>209</v>
      </c>
      <c r="C17" t="s">
        <v>297</v>
      </c>
    </row>
    <row r="18" spans="2:3" x14ac:dyDescent="0.2">
      <c r="B18" s="71" t="s">
        <v>155</v>
      </c>
      <c r="C18">
        <f>E14</f>
        <v>0.75499999999999989</v>
      </c>
    </row>
    <row r="19" spans="2:3" x14ac:dyDescent="0.2">
      <c r="B19" s="71" t="s">
        <v>174</v>
      </c>
      <c r="C19">
        <f>G14</f>
        <v>0.71</v>
      </c>
    </row>
    <row r="20" spans="2:3" x14ac:dyDescent="0.2">
      <c r="B20" s="71" t="s">
        <v>179</v>
      </c>
      <c r="C20">
        <f>I14</f>
        <v>0.96499999999999986</v>
      </c>
    </row>
    <row r="21" spans="2:3" x14ac:dyDescent="0.2">
      <c r="B21" s="71" t="s">
        <v>200</v>
      </c>
      <c r="C21">
        <f>K14</f>
        <v>0.90499999999999992</v>
      </c>
    </row>
    <row r="22" spans="2:3" x14ac:dyDescent="0.2">
      <c r="B22" s="71" t="s">
        <v>222</v>
      </c>
      <c r="C22">
        <f>M14</f>
        <v>0.74</v>
      </c>
    </row>
    <row r="23" spans="2:3" x14ac:dyDescent="0.2">
      <c r="B23" s="71" t="s">
        <v>221</v>
      </c>
      <c r="C23">
        <f>O14</f>
        <v>0.74</v>
      </c>
    </row>
    <row r="24" spans="2:3" x14ac:dyDescent="0.2">
      <c r="B24" s="71" t="s">
        <v>199</v>
      </c>
      <c r="C24">
        <f>Q14</f>
        <v>0.96499999999999986</v>
      </c>
    </row>
    <row r="25" spans="2:3" x14ac:dyDescent="0.2">
      <c r="B25" s="71" t="s">
        <v>198</v>
      </c>
      <c r="C25">
        <f>S14</f>
        <v>0.96499999999999986</v>
      </c>
    </row>
  </sheetData>
  <mergeCells count="1">
    <mergeCell ref="D1:S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29"/>
  <sheetViews>
    <sheetView workbookViewId="0">
      <pane xSplit="2" ySplit="3" topLeftCell="F7" activePane="bottomRight" state="frozen"/>
      <selection pane="topRight" activeCell="C1" sqref="C1"/>
      <selection pane="bottomLeft" activeCell="A4" sqref="A4"/>
      <selection pane="bottomRight" activeCell="Q9" sqref="G9:Q9"/>
    </sheetView>
  </sheetViews>
  <sheetFormatPr defaultColWidth="8.85546875" defaultRowHeight="12.75" x14ac:dyDescent="0.2"/>
  <cols>
    <col min="1" max="1" width="5.28515625" style="42" bestFit="1" customWidth="1"/>
    <col min="2" max="2" width="20.42578125" style="42" bestFit="1" customWidth="1"/>
    <col min="3" max="3" width="22" style="42" customWidth="1"/>
    <col min="4" max="4" width="57.28515625" style="42" bestFit="1" customWidth="1"/>
    <col min="5" max="6" width="22" style="42" customWidth="1"/>
    <col min="7" max="17" width="11.140625" style="42" customWidth="1"/>
    <col min="18" max="18" width="3.42578125" style="42" bestFit="1" customWidth="1"/>
    <col min="19" max="19" width="24.140625" style="42" bestFit="1" customWidth="1"/>
    <col min="20" max="20" width="30.140625" style="42" bestFit="1" customWidth="1"/>
    <col min="21" max="21" width="38.28515625" style="42" bestFit="1" customWidth="1"/>
    <col min="22" max="22" width="34.7109375" style="42" bestFit="1" customWidth="1"/>
    <col min="23" max="24" width="24.140625" style="42" bestFit="1" customWidth="1"/>
    <col min="25" max="25" width="29.28515625" style="42" bestFit="1" customWidth="1"/>
    <col min="26" max="26" width="11.7109375" style="42" bestFit="1" customWidth="1"/>
    <col min="27" max="16384" width="8.85546875" style="42"/>
  </cols>
  <sheetData>
    <row r="1" spans="1:26" x14ac:dyDescent="0.2">
      <c r="G1" s="37" t="s">
        <v>237</v>
      </c>
      <c r="H1"/>
      <c r="I1"/>
      <c r="J1"/>
      <c r="K1"/>
      <c r="L1"/>
      <c r="M1"/>
      <c r="N1"/>
      <c r="O1"/>
      <c r="P1"/>
      <c r="Q1"/>
      <c r="R1"/>
    </row>
    <row r="2" spans="1:26" s="46" customFormat="1" ht="203.25" x14ac:dyDescent="0.2">
      <c r="G2" s="49" t="s">
        <v>176</v>
      </c>
      <c r="H2" s="49"/>
      <c r="I2" s="49" t="s">
        <v>152</v>
      </c>
      <c r="J2" s="49"/>
      <c r="K2" s="49"/>
      <c r="L2" s="49"/>
      <c r="M2" s="49"/>
      <c r="N2" s="49"/>
      <c r="O2" s="49" t="s">
        <v>2</v>
      </c>
      <c r="P2" s="49"/>
      <c r="Q2" s="49"/>
      <c r="R2"/>
      <c r="S2"/>
      <c r="T2"/>
      <c r="U2"/>
      <c r="V2"/>
      <c r="W2"/>
      <c r="X2"/>
      <c r="Y2"/>
      <c r="Z2"/>
    </row>
    <row r="3" spans="1:26" ht="110.25" x14ac:dyDescent="0.2">
      <c r="A3" s="43" t="s">
        <v>225</v>
      </c>
      <c r="B3" s="43" t="s">
        <v>232</v>
      </c>
      <c r="C3" s="44" t="s">
        <v>226</v>
      </c>
      <c r="D3" s="45" t="s">
        <v>218</v>
      </c>
      <c r="E3" s="45" t="s">
        <v>236</v>
      </c>
      <c r="F3" s="45" t="s">
        <v>227</v>
      </c>
      <c r="G3" s="49" t="s">
        <v>199</v>
      </c>
      <c r="H3" s="49" t="s">
        <v>198</v>
      </c>
      <c r="I3" s="49" t="s">
        <v>155</v>
      </c>
      <c r="J3" s="49" t="s">
        <v>174</v>
      </c>
      <c r="K3" s="49" t="s">
        <v>179</v>
      </c>
      <c r="L3" s="49" t="s">
        <v>200</v>
      </c>
      <c r="M3" s="49" t="s">
        <v>222</v>
      </c>
      <c r="N3" s="49" t="s">
        <v>221</v>
      </c>
      <c r="O3" s="49" t="s">
        <v>155</v>
      </c>
      <c r="P3" s="49" t="s">
        <v>222</v>
      </c>
      <c r="Q3" s="49" t="s">
        <v>221</v>
      </c>
      <c r="R3"/>
      <c r="S3"/>
      <c r="T3"/>
      <c r="U3"/>
      <c r="V3"/>
      <c r="W3"/>
      <c r="X3"/>
      <c r="Y3"/>
      <c r="Z3"/>
    </row>
    <row r="4" spans="1:26" x14ac:dyDescent="0.2">
      <c r="A4" s="39">
        <v>1</v>
      </c>
      <c r="B4" s="39" t="s">
        <v>235</v>
      </c>
      <c r="C4" s="40" t="s">
        <v>228</v>
      </c>
      <c r="D4" s="41">
        <v>2</v>
      </c>
      <c r="E4" s="41">
        <v>1</v>
      </c>
      <c r="F4" s="41">
        <f>E4*D4</f>
        <v>2</v>
      </c>
      <c r="G4" s="48"/>
      <c r="H4" s="48">
        <v>1</v>
      </c>
      <c r="I4" s="48"/>
      <c r="J4" s="48"/>
      <c r="K4" s="48"/>
      <c r="L4" s="48"/>
      <c r="M4" s="48"/>
      <c r="N4" s="48"/>
      <c r="O4" s="48"/>
      <c r="P4" s="48"/>
      <c r="Q4" s="48"/>
      <c r="S4"/>
      <c r="T4"/>
      <c r="U4"/>
      <c r="V4"/>
      <c r="W4"/>
      <c r="X4"/>
      <c r="Y4"/>
      <c r="Z4"/>
    </row>
    <row r="5" spans="1:26" x14ac:dyDescent="0.2">
      <c r="A5" s="39">
        <v>2</v>
      </c>
      <c r="B5" s="39" t="s">
        <v>234</v>
      </c>
      <c r="C5" s="40" t="s">
        <v>228</v>
      </c>
      <c r="D5" s="41">
        <v>2</v>
      </c>
      <c r="E5" s="41">
        <v>2</v>
      </c>
      <c r="F5" s="41">
        <f>E5*D5</f>
        <v>4</v>
      </c>
      <c r="G5" s="47"/>
      <c r="H5" s="47">
        <v>1</v>
      </c>
      <c r="I5" s="47"/>
      <c r="J5" s="48"/>
      <c r="K5" s="48"/>
      <c r="L5" s="48"/>
      <c r="M5" s="48"/>
      <c r="N5" s="48">
        <v>1</v>
      </c>
      <c r="O5" s="48">
        <v>1</v>
      </c>
      <c r="P5" s="48"/>
      <c r="Q5" s="48"/>
    </row>
    <row r="6" spans="1:26" x14ac:dyDescent="0.2">
      <c r="A6" s="39">
        <v>3</v>
      </c>
      <c r="B6" s="39" t="s">
        <v>19</v>
      </c>
      <c r="C6" s="40" t="s">
        <v>228</v>
      </c>
      <c r="D6" s="41">
        <v>3</v>
      </c>
      <c r="E6" s="41">
        <v>1</v>
      </c>
      <c r="F6" s="41">
        <f>E6*D6</f>
        <v>3</v>
      </c>
      <c r="G6" s="47">
        <v>1</v>
      </c>
      <c r="H6" s="41">
        <v>1</v>
      </c>
      <c r="I6" s="47">
        <v>1</v>
      </c>
      <c r="J6" s="48">
        <v>1</v>
      </c>
      <c r="K6" s="48"/>
      <c r="L6" s="48"/>
      <c r="M6" s="48"/>
      <c r="N6" s="48"/>
      <c r="O6" s="48">
        <v>1</v>
      </c>
      <c r="P6" s="48">
        <v>1</v>
      </c>
      <c r="Q6" s="48">
        <v>1</v>
      </c>
    </row>
    <row r="7" spans="1:26" x14ac:dyDescent="0.2">
      <c r="A7" s="39">
        <v>4</v>
      </c>
      <c r="B7" s="39" t="s">
        <v>301</v>
      </c>
      <c r="C7" s="40" t="s">
        <v>229</v>
      </c>
      <c r="D7" s="41">
        <v>3</v>
      </c>
      <c r="E7" s="41">
        <v>15</v>
      </c>
      <c r="F7" s="41">
        <f>E7*D7</f>
        <v>45</v>
      </c>
      <c r="G7" s="47">
        <v>1</v>
      </c>
      <c r="H7" s="47"/>
      <c r="I7" s="47">
        <v>1</v>
      </c>
      <c r="J7" s="48">
        <v>1</v>
      </c>
      <c r="K7" s="48">
        <v>1</v>
      </c>
      <c r="L7" s="48">
        <v>1</v>
      </c>
      <c r="M7" s="48">
        <v>1</v>
      </c>
      <c r="N7" s="48">
        <v>1</v>
      </c>
      <c r="O7" s="48"/>
      <c r="P7" s="48"/>
      <c r="Q7" s="48"/>
    </row>
    <row r="8" spans="1:26" x14ac:dyDescent="0.2">
      <c r="A8" s="39">
        <v>5</v>
      </c>
      <c r="B8" s="39" t="s">
        <v>230</v>
      </c>
      <c r="C8" s="40" t="s">
        <v>231</v>
      </c>
      <c r="D8" s="41">
        <v>2</v>
      </c>
      <c r="E8" s="41">
        <v>6</v>
      </c>
      <c r="F8" s="41">
        <f>E8*D8</f>
        <v>12</v>
      </c>
      <c r="G8" s="47">
        <v>1</v>
      </c>
      <c r="H8" s="47"/>
      <c r="I8" s="47">
        <v>1</v>
      </c>
      <c r="J8" s="48">
        <v>1</v>
      </c>
      <c r="K8" s="48">
        <v>1</v>
      </c>
      <c r="L8" s="48">
        <v>1</v>
      </c>
      <c r="M8" s="48">
        <v>1</v>
      </c>
      <c r="N8" s="48">
        <v>1</v>
      </c>
      <c r="O8" s="48">
        <v>1</v>
      </c>
      <c r="P8" s="48">
        <v>1</v>
      </c>
      <c r="Q8" s="48">
        <v>1</v>
      </c>
    </row>
    <row r="9" spans="1:26" x14ac:dyDescent="0.2">
      <c r="G9">
        <f>SUM(G4*$F$4,G5*$F$5,G6*$F$6,G7*$F$7,G8*$F$8)</f>
        <v>60</v>
      </c>
      <c r="H9">
        <f t="shared" ref="H9:R9" si="0">SUM(H4*$F$4,H5*$F$5,H6*$F$6,H7*$F$7,H8*$F$8)</f>
        <v>9</v>
      </c>
      <c r="I9">
        <f t="shared" si="0"/>
        <v>60</v>
      </c>
      <c r="J9">
        <f t="shared" si="0"/>
        <v>60</v>
      </c>
      <c r="K9">
        <f t="shared" si="0"/>
        <v>57</v>
      </c>
      <c r="L9">
        <f t="shared" si="0"/>
        <v>57</v>
      </c>
      <c r="M9">
        <f t="shared" si="0"/>
        <v>57</v>
      </c>
      <c r="N9">
        <f t="shared" si="0"/>
        <v>61</v>
      </c>
      <c r="O9">
        <f t="shared" si="0"/>
        <v>19</v>
      </c>
      <c r="P9">
        <f t="shared" si="0"/>
        <v>15</v>
      </c>
      <c r="Q9">
        <f t="shared" si="0"/>
        <v>15</v>
      </c>
      <c r="R9">
        <f t="shared" si="0"/>
        <v>0</v>
      </c>
    </row>
    <row r="10" spans="1:26" x14ac:dyDescent="0.2">
      <c r="G10"/>
      <c r="H10"/>
      <c r="I10"/>
    </row>
    <row r="11" spans="1:26" x14ac:dyDescent="0.2">
      <c r="D11" s="39"/>
      <c r="E11" s="39"/>
      <c r="F11" s="39"/>
      <c r="G11" s="39"/>
      <c r="H11" s="39"/>
      <c r="I11" s="39"/>
      <c r="J11" s="39"/>
      <c r="K11" s="39"/>
      <c r="L11" s="39"/>
      <c r="M11" s="39"/>
    </row>
    <row r="12" spans="1:26" x14ac:dyDescent="0.2">
      <c r="A12" s="39"/>
      <c r="B12" s="39" t="s">
        <v>208</v>
      </c>
      <c r="C12" s="48" t="s">
        <v>209</v>
      </c>
      <c r="D12" s="42" t="s">
        <v>300</v>
      </c>
      <c r="E12" s="42" t="s">
        <v>288</v>
      </c>
      <c r="I12"/>
    </row>
    <row r="13" spans="1:26" x14ac:dyDescent="0.2">
      <c r="A13" s="47"/>
      <c r="B13" s="39" t="s">
        <v>176</v>
      </c>
      <c r="C13" s="39" t="s">
        <v>199</v>
      </c>
      <c r="D13" s="42" t="str">
        <f>B13&amp;C13</f>
        <v>Poskytovanie a prevádzka Palubných jednotiekET-BO Proxy</v>
      </c>
      <c r="E13" s="48">
        <f>G9</f>
        <v>60</v>
      </c>
      <c r="F13" s="48"/>
      <c r="G13" s="48"/>
      <c r="H13" s="48"/>
      <c r="I13" s="48"/>
      <c r="J13" s="47"/>
      <c r="K13" s="47"/>
      <c r="L13" s="47"/>
      <c r="M13" s="47"/>
    </row>
    <row r="14" spans="1:26" x14ac:dyDescent="0.2">
      <c r="A14" s="47"/>
      <c r="B14" s="39" t="s">
        <v>176</v>
      </c>
      <c r="C14" s="39" t="s">
        <v>198</v>
      </c>
      <c r="D14" s="42" t="str">
        <f t="shared" ref="D14:D23" si="1">B14&amp;C14</f>
        <v>Poskytovanie a prevádzka Palubných jednotiekSystém riadenia logistiky</v>
      </c>
      <c r="E14" s="48">
        <f>H9</f>
        <v>9</v>
      </c>
      <c r="F14" s="48"/>
      <c r="G14" s="48"/>
      <c r="H14" s="48"/>
      <c r="I14" s="48"/>
      <c r="J14" s="47"/>
      <c r="K14" s="41"/>
      <c r="L14" s="47"/>
      <c r="M14" s="47"/>
    </row>
    <row r="15" spans="1:26" x14ac:dyDescent="0.2">
      <c r="A15" s="47"/>
      <c r="B15" s="39" t="s">
        <v>152</v>
      </c>
      <c r="C15" s="39" t="s">
        <v>155</v>
      </c>
      <c r="D15" s="42" t="str">
        <f t="shared" si="1"/>
        <v>Agenda Správcu výberu mýtaCRM-BO</v>
      </c>
      <c r="E15" s="48">
        <f>I9</f>
        <v>60</v>
      </c>
      <c r="F15" s="48"/>
      <c r="G15" s="48"/>
      <c r="H15" s="48"/>
      <c r="I15" s="48"/>
      <c r="J15" s="47"/>
      <c r="K15" s="47"/>
      <c r="L15" s="47"/>
      <c r="M15" s="47"/>
    </row>
    <row r="16" spans="1:26" x14ac:dyDescent="0.2">
      <c r="A16" s="47"/>
      <c r="B16" s="39" t="s">
        <v>152</v>
      </c>
      <c r="C16" s="39" t="s">
        <v>174</v>
      </c>
      <c r="D16" s="42" t="str">
        <f t="shared" si="1"/>
        <v>Agenda Správcu výberu mýtaDátový sklad (DWH)</v>
      </c>
      <c r="E16" s="48">
        <f>J9</f>
        <v>60</v>
      </c>
      <c r="F16" s="48"/>
      <c r="G16" s="48"/>
      <c r="H16" s="48"/>
      <c r="I16" s="48"/>
      <c r="J16" s="48"/>
      <c r="K16" s="48"/>
      <c r="L16" s="48"/>
      <c r="M16" s="48"/>
    </row>
    <row r="17" spans="1:13" x14ac:dyDescent="0.2">
      <c r="A17" s="47"/>
      <c r="B17" s="39" t="s">
        <v>152</v>
      </c>
      <c r="C17" s="39" t="s">
        <v>179</v>
      </c>
      <c r="D17" s="42" t="str">
        <f t="shared" si="1"/>
        <v>Agenda Správcu výberu mýtaET-BO</v>
      </c>
      <c r="E17" s="48">
        <f>K9</f>
        <v>57</v>
      </c>
      <c r="F17" s="48"/>
      <c r="G17" s="48"/>
      <c r="H17" s="48"/>
      <c r="I17" s="48"/>
      <c r="J17" s="48"/>
      <c r="K17" s="48"/>
      <c r="L17" s="48"/>
      <c r="M17" s="48"/>
    </row>
    <row r="18" spans="1:13" x14ac:dyDescent="0.2">
      <c r="A18" s="47"/>
      <c r="B18" s="39" t="s">
        <v>152</v>
      </c>
      <c r="C18" s="39" t="s">
        <v>200</v>
      </c>
      <c r="D18" s="42" t="str">
        <f t="shared" si="1"/>
        <v>Agenda Správcu výberu mýtaGIS</v>
      </c>
      <c r="E18" s="48">
        <f>L9</f>
        <v>57</v>
      </c>
      <c r="F18" s="48"/>
      <c r="G18" s="48"/>
      <c r="H18" s="48"/>
      <c r="I18" s="48"/>
      <c r="J18" s="48"/>
      <c r="K18" s="48"/>
      <c r="L18" s="48"/>
      <c r="M18" s="48"/>
    </row>
    <row r="19" spans="1:13" x14ac:dyDescent="0.2">
      <c r="A19" s="47"/>
      <c r="B19" s="39" t="s">
        <v>152</v>
      </c>
      <c r="C19" s="39" t="s">
        <v>222</v>
      </c>
      <c r="D19" s="42" t="str">
        <f t="shared" si="1"/>
        <v>Agenda Správcu výberu mýtaRegistratúra Archív</v>
      </c>
      <c r="E19" s="48">
        <f>M9</f>
        <v>57</v>
      </c>
      <c r="F19" s="48"/>
      <c r="G19" s="48"/>
      <c r="H19" s="48"/>
      <c r="I19" s="48"/>
      <c r="J19" s="48"/>
      <c r="K19" s="48"/>
      <c r="L19" s="48"/>
      <c r="M19" s="48"/>
    </row>
    <row r="20" spans="1:13" x14ac:dyDescent="0.2">
      <c r="A20" s="47"/>
      <c r="B20" s="39" t="s">
        <v>152</v>
      </c>
      <c r="C20" s="39" t="s">
        <v>221</v>
      </c>
      <c r="D20" s="42" t="str">
        <f t="shared" si="1"/>
        <v>Agenda Správcu výberu mýtaÚčtovná evidencia</v>
      </c>
      <c r="E20" s="48">
        <f>N9</f>
        <v>61</v>
      </c>
      <c r="F20" s="48"/>
      <c r="G20" s="48"/>
      <c r="H20" s="48"/>
      <c r="I20" s="48"/>
      <c r="J20" s="48"/>
      <c r="K20" s="48"/>
      <c r="L20" s="48"/>
      <c r="M20" s="48"/>
    </row>
    <row r="21" spans="1:13" x14ac:dyDescent="0.2">
      <c r="A21" s="47"/>
      <c r="B21" s="72" t="s">
        <v>2</v>
      </c>
      <c r="C21" s="39" t="s">
        <v>155</v>
      </c>
      <c r="D21" s="42" t="str">
        <f t="shared" si="1"/>
        <v>Zákaznícke službyCRM-BO</v>
      </c>
      <c r="E21" s="48">
        <f>O9</f>
        <v>19</v>
      </c>
      <c r="F21" s="48"/>
      <c r="G21" s="48"/>
      <c r="H21" s="48"/>
      <c r="I21" s="48"/>
      <c r="J21" s="48"/>
      <c r="K21" s="48"/>
      <c r="L21" s="48"/>
      <c r="M21" s="48"/>
    </row>
    <row r="22" spans="1:13" x14ac:dyDescent="0.2">
      <c r="A22" s="47"/>
      <c r="B22" s="72" t="s">
        <v>2</v>
      </c>
      <c r="C22" s="39" t="s">
        <v>222</v>
      </c>
      <c r="D22" s="42" t="str">
        <f t="shared" si="1"/>
        <v>Zákaznícke službyRegistratúra Archív</v>
      </c>
      <c r="E22" s="48">
        <f>P9</f>
        <v>15</v>
      </c>
      <c r="F22" s="48"/>
      <c r="G22" s="48"/>
      <c r="H22" s="48"/>
      <c r="I22" s="48"/>
      <c r="J22" s="48"/>
      <c r="K22" s="48"/>
      <c r="L22" s="48"/>
      <c r="M22" s="48"/>
    </row>
    <row r="23" spans="1:13" x14ac:dyDescent="0.2">
      <c r="A23" s="47"/>
      <c r="B23" s="72" t="s">
        <v>2</v>
      </c>
      <c r="C23" s="39" t="s">
        <v>221</v>
      </c>
      <c r="D23" s="42" t="str">
        <f t="shared" si="1"/>
        <v>Zákaznícke službyÚčtovná evidencia</v>
      </c>
      <c r="E23" s="48">
        <f>Q9</f>
        <v>15</v>
      </c>
      <c r="F23" s="48"/>
      <c r="G23" s="48"/>
      <c r="H23" s="48"/>
      <c r="I23" s="48"/>
      <c r="J23" s="48"/>
      <c r="K23" s="48"/>
      <c r="L23" s="48"/>
      <c r="M23" s="48"/>
    </row>
    <row r="24" spans="1:13" x14ac:dyDescent="0.2">
      <c r="A24"/>
      <c r="B24"/>
      <c r="C24"/>
      <c r="E24" s="42">
        <f>SUM(E13:E23)</f>
        <v>470</v>
      </c>
    </row>
    <row r="25" spans="1:13" x14ac:dyDescent="0.2">
      <c r="A25"/>
      <c r="B25"/>
      <c r="C25"/>
    </row>
    <row r="26" spans="1:13" x14ac:dyDescent="0.2">
      <c r="A26"/>
      <c r="B26"/>
      <c r="C26"/>
    </row>
    <row r="27" spans="1:13" x14ac:dyDescent="0.2">
      <c r="A27"/>
      <c r="B27"/>
      <c r="C27"/>
    </row>
    <row r="28" spans="1:13" x14ac:dyDescent="0.2">
      <c r="A28"/>
      <c r="B28"/>
      <c r="C28"/>
    </row>
    <row r="29" spans="1:13" x14ac:dyDescent="0.2">
      <c r="A29"/>
      <c r="B29"/>
      <c r="C29"/>
    </row>
  </sheetData>
  <conditionalFormatting sqref="C12 A13:A15 A16:B23 E13:E23">
    <cfRule type="containsText" dxfId="23" priority="4" operator="containsText" text="x">
      <formula>NOT(ISERROR(SEARCH("x",A12)))</formula>
    </cfRule>
  </conditionalFormatting>
  <conditionalFormatting sqref="F13:F23">
    <cfRule type="containsText" dxfId="22" priority="3" operator="containsText" text="x">
      <formula>NOT(ISERROR(SEARCH("x",F13)))</formula>
    </cfRule>
  </conditionalFormatting>
  <conditionalFormatting sqref="G13:G23">
    <cfRule type="containsText" dxfId="21" priority="2" operator="containsText" text="x">
      <formula>NOT(ISERROR(SEARCH("x",G13)))</formula>
    </cfRule>
  </conditionalFormatting>
  <conditionalFormatting sqref="H13:H23">
    <cfRule type="containsText" dxfId="20" priority="1" operator="containsText" text="x">
      <formula>NOT(ISERROR(SEARCH("x",H13)))</formula>
    </cfRule>
  </conditionalFormatting>
  <pageMargins left="0.7" right="0.7" top="0.75" bottom="0.75" header="0.3" footer="0.3"/>
  <pageSetup paperSize="9" orientation="portrait" horizontalDpi="4294967293" verticalDpi="0"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179"/>
  <sheetViews>
    <sheetView workbookViewId="0">
      <pane xSplit="4" ySplit="2" topLeftCell="N159" activePane="bottomRight" state="frozen"/>
      <selection pane="topRight" activeCell="E1" sqref="E1"/>
      <selection pane="bottomLeft" activeCell="A2" sqref="A2"/>
      <selection pane="bottomRight" activeCell="P3" sqref="P3:P179"/>
    </sheetView>
  </sheetViews>
  <sheetFormatPr defaultRowHeight="12.75" x14ac:dyDescent="0.2"/>
  <cols>
    <col min="1" max="1" width="36.28515625" customWidth="1"/>
    <col min="2" max="2" width="36.28515625" hidden="1" customWidth="1"/>
    <col min="3" max="3" width="36.28515625" customWidth="1"/>
    <col min="4" max="4" width="20.5703125" style="29" customWidth="1"/>
    <col min="5" max="5" width="59.85546875" customWidth="1"/>
    <col min="6" max="6" width="11.5703125" bestFit="1" customWidth="1"/>
    <col min="7" max="7" width="13.28515625" bestFit="1" customWidth="1"/>
    <col min="11" max="11" width="12" bestFit="1" customWidth="1"/>
    <col min="16" max="16" width="10.28515625" bestFit="1" customWidth="1"/>
    <col min="21" max="21" width="40.42578125" bestFit="1" customWidth="1"/>
    <col min="22" max="22" width="37.28515625" customWidth="1"/>
  </cols>
  <sheetData>
    <row r="1" spans="1:24" x14ac:dyDescent="0.2">
      <c r="O1" s="76">
        <f>SUBTOTAL(9,O3:O179)</f>
        <v>71027.243250000029</v>
      </c>
      <c r="P1" s="73">
        <f>SUBTOTAL(9,P3:P179)</f>
        <v>5327043.2437499985</v>
      </c>
    </row>
    <row r="2" spans="1:24" s="36" customFormat="1" ht="25.5" x14ac:dyDescent="0.2">
      <c r="A2" s="34" t="s">
        <v>208</v>
      </c>
      <c r="B2" s="34" t="s">
        <v>300</v>
      </c>
      <c r="C2" s="34" t="s">
        <v>214</v>
      </c>
      <c r="D2" s="35" t="s">
        <v>209</v>
      </c>
      <c r="E2" s="34" t="s">
        <v>210</v>
      </c>
      <c r="F2" s="34" t="s">
        <v>212</v>
      </c>
      <c r="G2" s="34" t="s">
        <v>211</v>
      </c>
      <c r="H2" s="36" t="s">
        <v>218</v>
      </c>
      <c r="I2" s="36" t="s">
        <v>220</v>
      </c>
      <c r="J2" s="36" t="s">
        <v>219</v>
      </c>
      <c r="K2" s="36" t="s">
        <v>288</v>
      </c>
      <c r="L2" s="36" t="s">
        <v>297</v>
      </c>
      <c r="M2" s="36" t="s">
        <v>287</v>
      </c>
      <c r="N2" s="36" t="s">
        <v>210</v>
      </c>
      <c r="O2" s="69" t="s">
        <v>298</v>
      </c>
      <c r="P2" s="69" t="s">
        <v>295</v>
      </c>
      <c r="Q2" s="69"/>
      <c r="R2" s="69" t="s">
        <v>299</v>
      </c>
      <c r="S2" s="69" t="s">
        <v>292</v>
      </c>
      <c r="U2" s="37" t="s">
        <v>208</v>
      </c>
      <c r="V2" s="37" t="s">
        <v>209</v>
      </c>
      <c r="W2" t="s">
        <v>233</v>
      </c>
      <c r="X2"/>
    </row>
    <row r="3" spans="1:24" x14ac:dyDescent="0.2">
      <c r="A3" s="30" t="s">
        <v>2</v>
      </c>
      <c r="B3" s="30" t="str">
        <f>A3&amp;D3</f>
        <v>Zákaznícke službyCRM-BO</v>
      </c>
      <c r="C3" s="30" t="s">
        <v>2</v>
      </c>
      <c r="D3" s="31" t="s">
        <v>155</v>
      </c>
      <c r="E3" s="32" t="s">
        <v>4</v>
      </c>
      <c r="F3" s="33" t="s">
        <v>19</v>
      </c>
      <c r="G3" s="30">
        <v>6</v>
      </c>
      <c r="H3">
        <f>VLOOKUP(E3,PIVOT!$B$4:$D$165,3,0)</f>
        <v>10</v>
      </c>
      <c r="I3">
        <f>IF(G3=0,1,G3)</f>
        <v>6</v>
      </c>
      <c r="J3">
        <f>H3*I3</f>
        <v>60</v>
      </c>
      <c r="K3" s="74">
        <f>VLOOKUP(B3,UAW!$D$13:$E$23,2,0)/COUNTIFS($A$3:$A$179,A3,$D$3:$D$179,D3)</f>
        <v>0.6333333333333333</v>
      </c>
      <c r="L3">
        <f>VLOOKUP(D3,ECF!$B$18:$C$25,2,0)</f>
        <v>0.75499999999999989</v>
      </c>
      <c r="M3">
        <f>VLOOKUP(D3,TFC!$B$22:$C$29,2,0)</f>
        <v>1</v>
      </c>
      <c r="N3">
        <f>(J3+K3)*L3*M3</f>
        <v>45.778166666666657</v>
      </c>
      <c r="O3" s="76">
        <f>N3*$S$3</f>
        <v>1144.4541666666664</v>
      </c>
      <c r="P3" s="73">
        <f>O3*$R$3</f>
        <v>85834.062499999985</v>
      </c>
      <c r="R3">
        <f>FINAL_UCPA_Moduly!B14/8</f>
        <v>75</v>
      </c>
      <c r="S3">
        <f>FINAL_UCPA_Moduly!B12</f>
        <v>25</v>
      </c>
      <c r="U3" t="s">
        <v>152</v>
      </c>
      <c r="V3" t="s">
        <v>155</v>
      </c>
      <c r="W3" s="38">
        <v>890</v>
      </c>
    </row>
    <row r="4" spans="1:24" x14ac:dyDescent="0.2">
      <c r="A4" s="30" t="s">
        <v>2</v>
      </c>
      <c r="B4" s="30" t="str">
        <f t="shared" ref="B4:B67" si="0">A4&amp;D4</f>
        <v>Zákaznícke službyCRM-BO</v>
      </c>
      <c r="C4" s="30" t="s">
        <v>2</v>
      </c>
      <c r="D4" s="31" t="s">
        <v>155</v>
      </c>
      <c r="E4" s="32" t="s">
        <v>3</v>
      </c>
      <c r="F4" s="33" t="s">
        <v>19</v>
      </c>
      <c r="G4" s="30">
        <v>4</v>
      </c>
      <c r="H4">
        <f>VLOOKUP(E4,PIVOT!$B$4:$D$165,3,0)</f>
        <v>5</v>
      </c>
      <c r="I4">
        <f t="shared" ref="I4:I67" si="1">IF(G4=0,1,G4)</f>
        <v>4</v>
      </c>
      <c r="J4">
        <f t="shared" ref="J4:J67" si="2">H4*I4</f>
        <v>20</v>
      </c>
      <c r="K4" s="74">
        <f>VLOOKUP(B4,UAW!$D$13:$E$23,2,0)/COUNTIFS($A$3:$A$179,A4,$D$3:$D$179,D4)</f>
        <v>0.6333333333333333</v>
      </c>
      <c r="L4">
        <f>VLOOKUP(D4,ECF!$B$18:$C$25,2,0)</f>
        <v>0.75499999999999989</v>
      </c>
      <c r="M4">
        <f>VLOOKUP(D4,TFC!$B$22:$C$29,2,0)</f>
        <v>1</v>
      </c>
      <c r="N4">
        <f t="shared" ref="N4:N67" si="3">(J4+K4)*L4*M4</f>
        <v>15.578166666666664</v>
      </c>
      <c r="O4" s="76">
        <f t="shared" ref="O4:O67" si="4">N4*$S$3</f>
        <v>389.45416666666659</v>
      </c>
      <c r="P4" s="73">
        <f t="shared" ref="P4:P67" si="5">O4*$R$3</f>
        <v>29209.062499999996</v>
      </c>
      <c r="S4">
        <f>FINAL_UCPA_Moduly!B13</f>
        <v>15</v>
      </c>
      <c r="V4" t="s">
        <v>174</v>
      </c>
      <c r="W4" s="38">
        <v>90</v>
      </c>
    </row>
    <row r="5" spans="1:24" x14ac:dyDescent="0.2">
      <c r="A5" s="30" t="s">
        <v>2</v>
      </c>
      <c r="B5" s="30" t="str">
        <f t="shared" si="0"/>
        <v>Zákaznícke službyCRM-BO</v>
      </c>
      <c r="C5" s="30" t="s">
        <v>2</v>
      </c>
      <c r="D5" s="31" t="s">
        <v>155</v>
      </c>
      <c r="E5" s="32" t="s">
        <v>36</v>
      </c>
      <c r="F5" s="33" t="s">
        <v>19</v>
      </c>
      <c r="G5" s="30">
        <v>5</v>
      </c>
      <c r="H5">
        <f>VLOOKUP(E5,PIVOT!$B$4:$D$165,3,0)</f>
        <v>5</v>
      </c>
      <c r="I5">
        <f t="shared" si="1"/>
        <v>5</v>
      </c>
      <c r="J5">
        <f t="shared" si="2"/>
        <v>25</v>
      </c>
      <c r="K5" s="74">
        <f>VLOOKUP(B5,UAW!$D$13:$E$23,2,0)/COUNTIFS($A$3:$A$179,A5,$D$3:$D$179,D5)</f>
        <v>0.6333333333333333</v>
      </c>
      <c r="L5">
        <f>VLOOKUP(D5,ECF!$B$18:$C$25,2,0)</f>
        <v>0.75499999999999989</v>
      </c>
      <c r="M5">
        <f>VLOOKUP(D5,TFC!$B$22:$C$29,2,0)</f>
        <v>1</v>
      </c>
      <c r="N5">
        <f t="shared" si="3"/>
        <v>19.353166666666663</v>
      </c>
      <c r="O5" s="76">
        <f t="shared" si="4"/>
        <v>483.82916666666659</v>
      </c>
      <c r="P5" s="73">
        <f t="shared" si="5"/>
        <v>36287.187499999993</v>
      </c>
      <c r="V5" t="s">
        <v>179</v>
      </c>
      <c r="W5" s="38">
        <v>460</v>
      </c>
    </row>
    <row r="6" spans="1:24" x14ac:dyDescent="0.2">
      <c r="A6" s="30" t="s">
        <v>2</v>
      </c>
      <c r="B6" s="30" t="str">
        <f t="shared" si="0"/>
        <v>Zákaznícke službyCRM-BO</v>
      </c>
      <c r="C6" s="30" t="s">
        <v>2</v>
      </c>
      <c r="D6" s="31" t="s">
        <v>155</v>
      </c>
      <c r="E6" s="32" t="s">
        <v>9</v>
      </c>
      <c r="F6" s="33" t="s">
        <v>19</v>
      </c>
      <c r="G6" s="30">
        <v>5</v>
      </c>
      <c r="H6">
        <f>VLOOKUP(E6,PIVOT!$B$4:$D$165,3,0)</f>
        <v>5</v>
      </c>
      <c r="I6">
        <f t="shared" si="1"/>
        <v>5</v>
      </c>
      <c r="J6">
        <f t="shared" si="2"/>
        <v>25</v>
      </c>
      <c r="K6" s="74">
        <f>VLOOKUP(B6,UAW!$D$13:$E$23,2,0)/COUNTIFS($A$3:$A$179,A6,$D$3:$D$179,D6)</f>
        <v>0.6333333333333333</v>
      </c>
      <c r="L6">
        <f>VLOOKUP(D6,ECF!$B$18:$C$25,2,0)</f>
        <v>0.75499999999999989</v>
      </c>
      <c r="M6">
        <f>VLOOKUP(D6,TFC!$B$22:$C$29,2,0)</f>
        <v>1</v>
      </c>
      <c r="N6">
        <f t="shared" si="3"/>
        <v>19.353166666666663</v>
      </c>
      <c r="O6" s="76">
        <f t="shared" si="4"/>
        <v>483.82916666666659</v>
      </c>
      <c r="P6" s="73">
        <f t="shared" si="5"/>
        <v>36287.187499999993</v>
      </c>
      <c r="V6" t="s">
        <v>200</v>
      </c>
      <c r="W6" s="38">
        <v>105</v>
      </c>
    </row>
    <row r="7" spans="1:24" x14ac:dyDescent="0.2">
      <c r="A7" s="30" t="s">
        <v>2</v>
      </c>
      <c r="B7" s="30" t="str">
        <f t="shared" si="0"/>
        <v>Zákaznícke službyCRM-BO</v>
      </c>
      <c r="C7" s="30" t="s">
        <v>2</v>
      </c>
      <c r="D7" s="31" t="s">
        <v>155</v>
      </c>
      <c r="E7" s="32" t="s">
        <v>5</v>
      </c>
      <c r="F7" s="33" t="s">
        <v>19</v>
      </c>
      <c r="G7" s="30">
        <v>5</v>
      </c>
      <c r="H7">
        <f>VLOOKUP(E7,PIVOT!$B$4:$D$165,3,0)</f>
        <v>10</v>
      </c>
      <c r="I7">
        <f t="shared" si="1"/>
        <v>5</v>
      </c>
      <c r="J7">
        <f t="shared" si="2"/>
        <v>50</v>
      </c>
      <c r="K7" s="74">
        <f>VLOOKUP(B7,UAW!$D$13:$E$23,2,0)/COUNTIFS($A$3:$A$179,A7,$D$3:$D$179,D7)</f>
        <v>0.6333333333333333</v>
      </c>
      <c r="L7">
        <f>VLOOKUP(D7,ECF!$B$18:$C$25,2,0)</f>
        <v>0.75499999999999989</v>
      </c>
      <c r="M7">
        <f>VLOOKUP(D7,TFC!$B$22:$C$29,2,0)</f>
        <v>1</v>
      </c>
      <c r="N7">
        <f t="shared" si="3"/>
        <v>38.22816666666666</v>
      </c>
      <c r="O7" s="76">
        <f t="shared" si="4"/>
        <v>955.70416666666654</v>
      </c>
      <c r="P7" s="73">
        <f t="shared" si="5"/>
        <v>71677.812499999985</v>
      </c>
      <c r="V7" t="s">
        <v>222</v>
      </c>
      <c r="W7" s="38">
        <v>30</v>
      </c>
    </row>
    <row r="8" spans="1:24" x14ac:dyDescent="0.2">
      <c r="A8" s="30" t="s">
        <v>2</v>
      </c>
      <c r="B8" s="30" t="str">
        <f t="shared" si="0"/>
        <v>Zákaznícke službyCRM-BO</v>
      </c>
      <c r="C8" s="30" t="s">
        <v>2</v>
      </c>
      <c r="D8" s="31" t="s">
        <v>155</v>
      </c>
      <c r="E8" s="32" t="s">
        <v>6</v>
      </c>
      <c r="F8" s="33" t="s">
        <v>19</v>
      </c>
      <c r="G8" s="30">
        <v>0</v>
      </c>
      <c r="H8">
        <f>VLOOKUP(E8,PIVOT!$B$4:$D$165,3,0)</f>
        <v>10</v>
      </c>
      <c r="I8">
        <f t="shared" si="1"/>
        <v>1</v>
      </c>
      <c r="J8">
        <f t="shared" si="2"/>
        <v>10</v>
      </c>
      <c r="K8" s="74">
        <f>VLOOKUP(B8,UAW!$D$13:$E$23,2,0)/COUNTIFS($A$3:$A$179,A8,$D$3:$D$179,D8)</f>
        <v>0.6333333333333333</v>
      </c>
      <c r="L8">
        <f>VLOOKUP(D8,ECF!$B$18:$C$25,2,0)</f>
        <v>0.75499999999999989</v>
      </c>
      <c r="M8">
        <f>VLOOKUP(D8,TFC!$B$22:$C$29,2,0)</f>
        <v>1</v>
      </c>
      <c r="N8">
        <f t="shared" si="3"/>
        <v>8.0281666666666656</v>
      </c>
      <c r="O8" s="76">
        <f t="shared" si="4"/>
        <v>200.70416666666665</v>
      </c>
      <c r="P8" s="73">
        <f t="shared" si="5"/>
        <v>15052.812499999998</v>
      </c>
      <c r="V8" t="s">
        <v>221</v>
      </c>
      <c r="W8" s="38">
        <v>315</v>
      </c>
    </row>
    <row r="9" spans="1:24" ht="25.5" x14ac:dyDescent="0.2">
      <c r="A9" s="30" t="s">
        <v>2</v>
      </c>
      <c r="B9" s="30" t="str">
        <f t="shared" si="0"/>
        <v>Zákaznícke službyCRM-BO</v>
      </c>
      <c r="C9" s="30" t="s">
        <v>2</v>
      </c>
      <c r="D9" s="31" t="s">
        <v>155</v>
      </c>
      <c r="E9" s="32" t="s">
        <v>13</v>
      </c>
      <c r="F9" s="33" t="s">
        <v>19</v>
      </c>
      <c r="G9" s="30">
        <v>0</v>
      </c>
      <c r="H9">
        <f>VLOOKUP(E9,PIVOT!$B$4:$D$165,3,0)</f>
        <v>10</v>
      </c>
      <c r="I9">
        <f t="shared" si="1"/>
        <v>1</v>
      </c>
      <c r="J9">
        <f t="shared" si="2"/>
        <v>10</v>
      </c>
      <c r="K9" s="74">
        <f>VLOOKUP(B9,UAW!$D$13:$E$23,2,0)/COUNTIFS($A$3:$A$179,A9,$D$3:$D$179,D9)</f>
        <v>0.6333333333333333</v>
      </c>
      <c r="L9">
        <f>VLOOKUP(D9,ECF!$B$18:$C$25,2,0)</f>
        <v>0.75499999999999989</v>
      </c>
      <c r="M9">
        <f>VLOOKUP(D9,TFC!$B$22:$C$29,2,0)</f>
        <v>1</v>
      </c>
      <c r="N9">
        <f t="shared" si="3"/>
        <v>8.0281666666666656</v>
      </c>
      <c r="O9" s="76">
        <f t="shared" si="4"/>
        <v>200.70416666666665</v>
      </c>
      <c r="P9" s="73">
        <f t="shared" si="5"/>
        <v>15052.812499999998</v>
      </c>
      <c r="U9" t="s">
        <v>176</v>
      </c>
      <c r="V9" t="s">
        <v>199</v>
      </c>
      <c r="W9" s="38">
        <v>205</v>
      </c>
    </row>
    <row r="10" spans="1:24" x14ac:dyDescent="0.2">
      <c r="A10" s="30" t="s">
        <v>2</v>
      </c>
      <c r="B10" s="30" t="str">
        <f t="shared" si="0"/>
        <v>Zákaznícke službyCRM-BO</v>
      </c>
      <c r="C10" s="30" t="s">
        <v>2</v>
      </c>
      <c r="D10" s="31" t="s">
        <v>155</v>
      </c>
      <c r="E10" s="32" t="s">
        <v>35</v>
      </c>
      <c r="F10" s="33" t="s">
        <v>19</v>
      </c>
      <c r="G10" s="30">
        <v>6</v>
      </c>
      <c r="H10">
        <f>VLOOKUP(E10,PIVOT!$B$4:$D$165,3,0)</f>
        <v>10</v>
      </c>
      <c r="I10">
        <f t="shared" si="1"/>
        <v>6</v>
      </c>
      <c r="J10">
        <f t="shared" si="2"/>
        <v>60</v>
      </c>
      <c r="K10" s="74">
        <f>VLOOKUP(B10,UAW!$D$13:$E$23,2,0)/COUNTIFS($A$3:$A$179,A10,$D$3:$D$179,D10)</f>
        <v>0.6333333333333333</v>
      </c>
      <c r="L10">
        <f>VLOOKUP(D10,ECF!$B$18:$C$25,2,0)</f>
        <v>0.75499999999999989</v>
      </c>
      <c r="M10">
        <f>VLOOKUP(D10,TFC!$B$22:$C$29,2,0)</f>
        <v>1</v>
      </c>
      <c r="N10">
        <f t="shared" si="3"/>
        <v>45.778166666666657</v>
      </c>
      <c r="O10" s="76">
        <f t="shared" si="4"/>
        <v>1144.4541666666664</v>
      </c>
      <c r="P10" s="73">
        <f t="shared" si="5"/>
        <v>85834.062499999985</v>
      </c>
      <c r="V10" t="s">
        <v>198</v>
      </c>
      <c r="W10" s="38">
        <v>110</v>
      </c>
    </row>
    <row r="11" spans="1:24" x14ac:dyDescent="0.2">
      <c r="A11" s="30" t="s">
        <v>2</v>
      </c>
      <c r="B11" s="30" t="str">
        <f t="shared" si="0"/>
        <v>Zákaznícke službyCRM-BO</v>
      </c>
      <c r="C11" s="30" t="s">
        <v>2</v>
      </c>
      <c r="D11" s="31" t="s">
        <v>155</v>
      </c>
      <c r="E11" s="32" t="s">
        <v>15</v>
      </c>
      <c r="F11" s="33" t="s">
        <v>19</v>
      </c>
      <c r="G11" s="30">
        <v>6</v>
      </c>
      <c r="H11">
        <f>VLOOKUP(E11,PIVOT!$B$4:$D$165,3,0)</f>
        <v>5</v>
      </c>
      <c r="I11">
        <f t="shared" si="1"/>
        <v>6</v>
      </c>
      <c r="J11">
        <f t="shared" si="2"/>
        <v>30</v>
      </c>
      <c r="K11" s="74">
        <f>VLOOKUP(B11,UAW!$D$13:$E$23,2,0)/COUNTIFS($A$3:$A$179,A11,$D$3:$D$179,D11)</f>
        <v>0.6333333333333333</v>
      </c>
      <c r="L11">
        <f>VLOOKUP(D11,ECF!$B$18:$C$25,2,0)</f>
        <v>0.75499999999999989</v>
      </c>
      <c r="M11">
        <f>VLOOKUP(D11,TFC!$B$22:$C$29,2,0)</f>
        <v>1</v>
      </c>
      <c r="N11">
        <f t="shared" si="3"/>
        <v>23.128166666666662</v>
      </c>
      <c r="O11" s="76">
        <f t="shared" si="4"/>
        <v>578.20416666666654</v>
      </c>
      <c r="P11" s="73">
        <f t="shared" si="5"/>
        <v>43365.312499999993</v>
      </c>
      <c r="U11" t="s">
        <v>2</v>
      </c>
      <c r="V11" t="s">
        <v>155</v>
      </c>
      <c r="W11" s="38">
        <v>780</v>
      </c>
    </row>
    <row r="12" spans="1:24" x14ac:dyDescent="0.2">
      <c r="A12" s="30" t="s">
        <v>2</v>
      </c>
      <c r="B12" s="30" t="str">
        <f t="shared" si="0"/>
        <v>Zákaznícke službyCRM-BO</v>
      </c>
      <c r="C12" s="30" t="s">
        <v>2</v>
      </c>
      <c r="D12" s="31" t="s">
        <v>155</v>
      </c>
      <c r="E12" s="32" t="s">
        <v>17</v>
      </c>
      <c r="F12" s="33" t="s">
        <v>19</v>
      </c>
      <c r="G12" s="30">
        <v>6</v>
      </c>
      <c r="H12">
        <f>VLOOKUP(E12,PIVOT!$B$4:$D$165,3,0)</f>
        <v>10</v>
      </c>
      <c r="I12">
        <f t="shared" si="1"/>
        <v>6</v>
      </c>
      <c r="J12">
        <f t="shared" si="2"/>
        <v>60</v>
      </c>
      <c r="K12" s="74">
        <f>VLOOKUP(B12,UAW!$D$13:$E$23,2,0)/COUNTIFS($A$3:$A$179,A12,$D$3:$D$179,D12)</f>
        <v>0.6333333333333333</v>
      </c>
      <c r="L12">
        <f>VLOOKUP(D12,ECF!$B$18:$C$25,2,0)</f>
        <v>0.75499999999999989</v>
      </c>
      <c r="M12">
        <f>VLOOKUP(D12,TFC!$B$22:$C$29,2,0)</f>
        <v>1</v>
      </c>
      <c r="N12">
        <f t="shared" si="3"/>
        <v>45.778166666666657</v>
      </c>
      <c r="O12" s="76">
        <f t="shared" si="4"/>
        <v>1144.4541666666664</v>
      </c>
      <c r="P12" s="73">
        <f t="shared" si="5"/>
        <v>85834.062499999985</v>
      </c>
      <c r="V12" t="s">
        <v>222</v>
      </c>
      <c r="W12" s="38">
        <v>30</v>
      </c>
    </row>
    <row r="13" spans="1:24" x14ac:dyDescent="0.2">
      <c r="A13" s="30" t="s">
        <v>2</v>
      </c>
      <c r="B13" s="30" t="str">
        <f t="shared" si="0"/>
        <v>Zákaznícke službyCRM-BO</v>
      </c>
      <c r="C13" s="30" t="s">
        <v>2</v>
      </c>
      <c r="D13" s="31" t="s">
        <v>155</v>
      </c>
      <c r="E13" s="32" t="s">
        <v>7</v>
      </c>
      <c r="F13" s="33" t="s">
        <v>19</v>
      </c>
      <c r="G13" s="30">
        <v>3</v>
      </c>
      <c r="H13">
        <f>VLOOKUP(E13,PIVOT!$B$4:$D$165,3,0)</f>
        <v>10</v>
      </c>
      <c r="I13">
        <f t="shared" si="1"/>
        <v>3</v>
      </c>
      <c r="J13">
        <f t="shared" si="2"/>
        <v>30</v>
      </c>
      <c r="K13" s="74">
        <f>VLOOKUP(B13,UAW!$D$13:$E$23,2,0)/COUNTIFS($A$3:$A$179,A13,$D$3:$D$179,D13)</f>
        <v>0.6333333333333333</v>
      </c>
      <c r="L13">
        <f>VLOOKUP(D13,ECF!$B$18:$C$25,2,0)</f>
        <v>0.75499999999999989</v>
      </c>
      <c r="M13">
        <f>VLOOKUP(D13,TFC!$B$22:$C$29,2,0)</f>
        <v>1</v>
      </c>
      <c r="N13">
        <f t="shared" si="3"/>
        <v>23.128166666666662</v>
      </c>
      <c r="O13" s="76">
        <f t="shared" si="4"/>
        <v>578.20416666666654</v>
      </c>
      <c r="P13" s="73">
        <f t="shared" si="5"/>
        <v>43365.312499999993</v>
      </c>
      <c r="V13" t="s">
        <v>221</v>
      </c>
      <c r="W13" s="38">
        <v>55</v>
      </c>
    </row>
    <row r="14" spans="1:24" ht="25.5" x14ac:dyDescent="0.2">
      <c r="A14" s="30" t="s">
        <v>2</v>
      </c>
      <c r="B14" s="30" t="str">
        <f t="shared" si="0"/>
        <v>Zákaznícke službyCRM-BO</v>
      </c>
      <c r="C14" s="30" t="s">
        <v>2</v>
      </c>
      <c r="D14" s="31" t="s">
        <v>155</v>
      </c>
      <c r="E14" s="32" t="s">
        <v>10</v>
      </c>
      <c r="F14" s="33" t="s">
        <v>19</v>
      </c>
      <c r="G14" s="30">
        <v>4</v>
      </c>
      <c r="H14">
        <f>VLOOKUP(E14,PIVOT!$B$4:$D$165,3,0)</f>
        <v>10</v>
      </c>
      <c r="I14">
        <f t="shared" si="1"/>
        <v>4</v>
      </c>
      <c r="J14">
        <f t="shared" si="2"/>
        <v>40</v>
      </c>
      <c r="K14" s="74">
        <f>VLOOKUP(B14,UAW!$D$13:$E$23,2,0)/COUNTIFS($A$3:$A$179,A14,$D$3:$D$179,D14)</f>
        <v>0.6333333333333333</v>
      </c>
      <c r="L14">
        <f>VLOOKUP(D14,ECF!$B$18:$C$25,2,0)</f>
        <v>0.75499999999999989</v>
      </c>
      <c r="M14">
        <f>VLOOKUP(D14,TFC!$B$22:$C$29,2,0)</f>
        <v>1</v>
      </c>
      <c r="N14">
        <f t="shared" si="3"/>
        <v>30.678166666666662</v>
      </c>
      <c r="O14" s="76">
        <f t="shared" si="4"/>
        <v>766.95416666666654</v>
      </c>
      <c r="P14" s="73">
        <f t="shared" si="5"/>
        <v>57521.562499999993</v>
      </c>
      <c r="U14" t="s">
        <v>223</v>
      </c>
      <c r="W14" s="38">
        <v>3070</v>
      </c>
    </row>
    <row r="15" spans="1:24" x14ac:dyDescent="0.2">
      <c r="A15" s="30" t="s">
        <v>2</v>
      </c>
      <c r="B15" s="30" t="str">
        <f t="shared" si="0"/>
        <v>Zákaznícke službyCRM-BO</v>
      </c>
      <c r="C15" s="30" t="s">
        <v>2</v>
      </c>
      <c r="D15" s="31" t="s">
        <v>155</v>
      </c>
      <c r="E15" s="32" t="s">
        <v>37</v>
      </c>
      <c r="F15" s="33" t="s">
        <v>19</v>
      </c>
      <c r="G15" s="30">
        <v>3</v>
      </c>
      <c r="H15">
        <f>VLOOKUP(E15,PIVOT!$B$4:$D$165,3,0)</f>
        <v>5</v>
      </c>
      <c r="I15">
        <f t="shared" si="1"/>
        <v>3</v>
      </c>
      <c r="J15">
        <f t="shared" si="2"/>
        <v>15</v>
      </c>
      <c r="K15" s="74">
        <f>VLOOKUP(B15,UAW!$D$13:$E$23,2,0)/COUNTIFS($A$3:$A$179,A15,$D$3:$D$179,D15)</f>
        <v>0.6333333333333333</v>
      </c>
      <c r="L15">
        <f>VLOOKUP(D15,ECF!$B$18:$C$25,2,0)</f>
        <v>0.75499999999999989</v>
      </c>
      <c r="M15">
        <f>VLOOKUP(D15,TFC!$B$22:$C$29,2,0)</f>
        <v>1</v>
      </c>
      <c r="N15">
        <f t="shared" si="3"/>
        <v>11.803166666666664</v>
      </c>
      <c r="O15" s="76">
        <f t="shared" si="4"/>
        <v>295.07916666666659</v>
      </c>
      <c r="P15" s="73">
        <f t="shared" si="5"/>
        <v>22130.937499999996</v>
      </c>
    </row>
    <row r="16" spans="1:24" ht="25.5" x14ac:dyDescent="0.2">
      <c r="A16" s="30" t="s">
        <v>2</v>
      </c>
      <c r="B16" s="30" t="str">
        <f t="shared" si="0"/>
        <v>Zákaznícke službyCRM-BO</v>
      </c>
      <c r="C16" s="30" t="s">
        <v>2</v>
      </c>
      <c r="D16" s="31" t="s">
        <v>155</v>
      </c>
      <c r="E16" s="32" t="s">
        <v>12</v>
      </c>
      <c r="F16" s="33" t="s">
        <v>19</v>
      </c>
      <c r="G16" s="30">
        <v>6</v>
      </c>
      <c r="H16">
        <f>VLOOKUP(E16,PIVOT!$B$4:$D$165,3,0)</f>
        <v>10</v>
      </c>
      <c r="I16">
        <f t="shared" si="1"/>
        <v>6</v>
      </c>
      <c r="J16">
        <f t="shared" si="2"/>
        <v>60</v>
      </c>
      <c r="K16" s="74">
        <f>VLOOKUP(B16,UAW!$D$13:$E$23,2,0)/COUNTIFS($A$3:$A$179,A16,$D$3:$D$179,D16)</f>
        <v>0.6333333333333333</v>
      </c>
      <c r="L16">
        <f>VLOOKUP(D16,ECF!$B$18:$C$25,2,0)</f>
        <v>0.75499999999999989</v>
      </c>
      <c r="M16">
        <f>VLOOKUP(D16,TFC!$B$22:$C$29,2,0)</f>
        <v>1</v>
      </c>
      <c r="N16">
        <f t="shared" si="3"/>
        <v>45.778166666666657</v>
      </c>
      <c r="O16" s="76">
        <f t="shared" si="4"/>
        <v>1144.4541666666664</v>
      </c>
      <c r="P16" s="73">
        <f t="shared" si="5"/>
        <v>85834.062499999985</v>
      </c>
    </row>
    <row r="17" spans="1:16" ht="25.5" x14ac:dyDescent="0.2">
      <c r="A17" s="30" t="s">
        <v>2</v>
      </c>
      <c r="B17" s="30" t="str">
        <f t="shared" si="0"/>
        <v>Zákaznícke službyCRM-BO</v>
      </c>
      <c r="C17" s="30" t="s">
        <v>2</v>
      </c>
      <c r="D17" s="31" t="s">
        <v>155</v>
      </c>
      <c r="E17" s="32" t="s">
        <v>8</v>
      </c>
      <c r="F17" s="33" t="s">
        <v>19</v>
      </c>
      <c r="G17" s="30">
        <v>6</v>
      </c>
      <c r="H17">
        <f>VLOOKUP(E17,PIVOT!$B$4:$D$165,3,0)</f>
        <v>10</v>
      </c>
      <c r="I17">
        <f t="shared" si="1"/>
        <v>6</v>
      </c>
      <c r="J17">
        <f t="shared" si="2"/>
        <v>60</v>
      </c>
      <c r="K17" s="74">
        <f>VLOOKUP(B17,UAW!$D$13:$E$23,2,0)/COUNTIFS($A$3:$A$179,A17,$D$3:$D$179,D17)</f>
        <v>0.6333333333333333</v>
      </c>
      <c r="L17">
        <f>VLOOKUP(D17,ECF!$B$18:$C$25,2,0)</f>
        <v>0.75499999999999989</v>
      </c>
      <c r="M17">
        <f>VLOOKUP(D17,TFC!$B$22:$C$29,2,0)</f>
        <v>1</v>
      </c>
      <c r="N17">
        <f t="shared" si="3"/>
        <v>45.778166666666657</v>
      </c>
      <c r="O17" s="76">
        <f t="shared" si="4"/>
        <v>1144.4541666666664</v>
      </c>
      <c r="P17" s="73">
        <f t="shared" si="5"/>
        <v>85834.062499999985</v>
      </c>
    </row>
    <row r="18" spans="1:16" x14ac:dyDescent="0.2">
      <c r="A18" s="30" t="s">
        <v>2</v>
      </c>
      <c r="B18" s="30" t="str">
        <f t="shared" si="0"/>
        <v>Zákaznícke službyCRM-BO</v>
      </c>
      <c r="C18" s="30" t="s">
        <v>2</v>
      </c>
      <c r="D18" s="31" t="s">
        <v>155</v>
      </c>
      <c r="E18" s="32" t="s">
        <v>47</v>
      </c>
      <c r="F18" s="33" t="s">
        <v>19</v>
      </c>
      <c r="G18" s="30">
        <v>6</v>
      </c>
      <c r="H18">
        <f>VLOOKUP(E18,PIVOT!$B$4:$D$165,3,0)</f>
        <v>5</v>
      </c>
      <c r="I18">
        <f t="shared" si="1"/>
        <v>6</v>
      </c>
      <c r="J18">
        <f t="shared" si="2"/>
        <v>30</v>
      </c>
      <c r="K18" s="74">
        <f>VLOOKUP(B18,UAW!$D$13:$E$23,2,0)/COUNTIFS($A$3:$A$179,A18,$D$3:$D$179,D18)</f>
        <v>0.6333333333333333</v>
      </c>
      <c r="L18">
        <f>VLOOKUP(D18,ECF!$B$18:$C$25,2,0)</f>
        <v>0.75499999999999989</v>
      </c>
      <c r="M18">
        <f>VLOOKUP(D18,TFC!$B$22:$C$29,2,0)</f>
        <v>1</v>
      </c>
      <c r="N18">
        <f t="shared" si="3"/>
        <v>23.128166666666662</v>
      </c>
      <c r="O18" s="76">
        <f t="shared" si="4"/>
        <v>578.20416666666654</v>
      </c>
      <c r="P18" s="73">
        <f t="shared" si="5"/>
        <v>43365.312499999993</v>
      </c>
    </row>
    <row r="19" spans="1:16" x14ac:dyDescent="0.2">
      <c r="A19" s="30" t="s">
        <v>2</v>
      </c>
      <c r="B19" s="30" t="str">
        <f t="shared" si="0"/>
        <v>Zákaznícke službyCRM-BO</v>
      </c>
      <c r="C19" s="30" t="s">
        <v>2</v>
      </c>
      <c r="D19" s="31" t="s">
        <v>155</v>
      </c>
      <c r="E19" s="32" t="s">
        <v>48</v>
      </c>
      <c r="F19" s="33" t="s">
        <v>19</v>
      </c>
      <c r="G19" s="30">
        <v>6</v>
      </c>
      <c r="H19">
        <f>VLOOKUP(E19,PIVOT!$B$4:$D$165,3,0)</f>
        <v>5</v>
      </c>
      <c r="I19">
        <f t="shared" si="1"/>
        <v>6</v>
      </c>
      <c r="J19">
        <f t="shared" si="2"/>
        <v>30</v>
      </c>
      <c r="K19" s="74">
        <f>VLOOKUP(B19,UAW!$D$13:$E$23,2,0)/COUNTIFS($A$3:$A$179,A19,$D$3:$D$179,D19)</f>
        <v>0.6333333333333333</v>
      </c>
      <c r="L19">
        <f>VLOOKUP(D19,ECF!$B$18:$C$25,2,0)</f>
        <v>0.75499999999999989</v>
      </c>
      <c r="M19">
        <f>VLOOKUP(D19,TFC!$B$22:$C$29,2,0)</f>
        <v>1</v>
      </c>
      <c r="N19">
        <f t="shared" si="3"/>
        <v>23.128166666666662</v>
      </c>
      <c r="O19" s="76">
        <f t="shared" si="4"/>
        <v>578.20416666666654</v>
      </c>
      <c r="P19" s="73">
        <f t="shared" si="5"/>
        <v>43365.312499999993</v>
      </c>
    </row>
    <row r="20" spans="1:16" x14ac:dyDescent="0.2">
      <c r="A20" s="30" t="s">
        <v>2</v>
      </c>
      <c r="B20" s="30" t="str">
        <f t="shared" si="0"/>
        <v>Zákaznícke službyCRM-BO</v>
      </c>
      <c r="C20" s="30" t="s">
        <v>2</v>
      </c>
      <c r="D20" s="31" t="s">
        <v>155</v>
      </c>
      <c r="E20" s="32" t="s">
        <v>49</v>
      </c>
      <c r="F20" s="33" t="s">
        <v>19</v>
      </c>
      <c r="G20" s="30">
        <v>6</v>
      </c>
      <c r="H20">
        <f>VLOOKUP(E20,PIVOT!$B$4:$D$165,3,0)</f>
        <v>10</v>
      </c>
      <c r="I20">
        <f t="shared" si="1"/>
        <v>6</v>
      </c>
      <c r="J20">
        <f t="shared" si="2"/>
        <v>60</v>
      </c>
      <c r="K20" s="74">
        <f>VLOOKUP(B20,UAW!$D$13:$E$23,2,0)/COUNTIFS($A$3:$A$179,A20,$D$3:$D$179,D20)</f>
        <v>0.6333333333333333</v>
      </c>
      <c r="L20">
        <f>VLOOKUP(D20,ECF!$B$18:$C$25,2,0)</f>
        <v>0.75499999999999989</v>
      </c>
      <c r="M20">
        <f>VLOOKUP(D20,TFC!$B$22:$C$29,2,0)</f>
        <v>1</v>
      </c>
      <c r="N20">
        <f t="shared" si="3"/>
        <v>45.778166666666657</v>
      </c>
      <c r="O20" s="76">
        <f t="shared" si="4"/>
        <v>1144.4541666666664</v>
      </c>
      <c r="P20" s="73">
        <f t="shared" si="5"/>
        <v>85834.062499999985</v>
      </c>
    </row>
    <row r="21" spans="1:16" x14ac:dyDescent="0.2">
      <c r="A21" s="30" t="s">
        <v>2</v>
      </c>
      <c r="B21" s="30" t="str">
        <f t="shared" si="0"/>
        <v>Zákaznícke službyCRM-BO</v>
      </c>
      <c r="C21" s="30" t="s">
        <v>2</v>
      </c>
      <c r="D21" s="31" t="s">
        <v>155</v>
      </c>
      <c r="E21" s="32" t="s">
        <v>14</v>
      </c>
      <c r="F21" s="33" t="s">
        <v>19</v>
      </c>
      <c r="G21" s="30">
        <v>0</v>
      </c>
      <c r="H21">
        <f>VLOOKUP(E21,PIVOT!$B$4:$D$165,3,0)</f>
        <v>5</v>
      </c>
      <c r="I21">
        <f t="shared" si="1"/>
        <v>1</v>
      </c>
      <c r="J21">
        <f t="shared" si="2"/>
        <v>5</v>
      </c>
      <c r="K21" s="74">
        <f>VLOOKUP(B21,UAW!$D$13:$E$23,2,0)/COUNTIFS($A$3:$A$179,A21,$D$3:$D$179,D21)</f>
        <v>0.6333333333333333</v>
      </c>
      <c r="L21">
        <f>VLOOKUP(D21,ECF!$B$18:$C$25,2,0)</f>
        <v>0.75499999999999989</v>
      </c>
      <c r="M21">
        <f>VLOOKUP(D21,TFC!$B$22:$C$29,2,0)</f>
        <v>1</v>
      </c>
      <c r="N21">
        <f t="shared" si="3"/>
        <v>4.2531666666666661</v>
      </c>
      <c r="O21" s="76">
        <f t="shared" si="4"/>
        <v>106.32916666666665</v>
      </c>
      <c r="P21" s="73">
        <f t="shared" si="5"/>
        <v>7974.6874999999991</v>
      </c>
    </row>
    <row r="22" spans="1:16" x14ac:dyDescent="0.2">
      <c r="A22" s="30" t="s">
        <v>2</v>
      </c>
      <c r="B22" s="30" t="str">
        <f t="shared" si="0"/>
        <v>Zákaznícke službyCRM-BO</v>
      </c>
      <c r="C22" s="30" t="s">
        <v>2</v>
      </c>
      <c r="D22" s="31" t="s">
        <v>155</v>
      </c>
      <c r="E22" s="32" t="s">
        <v>163</v>
      </c>
      <c r="F22" s="33" t="s">
        <v>19</v>
      </c>
      <c r="G22" s="30">
        <v>0</v>
      </c>
      <c r="H22">
        <f>VLOOKUP(E22,PIVOT!$B$4:$D$165,3,0)</f>
        <v>10</v>
      </c>
      <c r="I22">
        <f t="shared" si="1"/>
        <v>1</v>
      </c>
      <c r="J22">
        <f t="shared" si="2"/>
        <v>10</v>
      </c>
      <c r="K22" s="74">
        <f>VLOOKUP(B22,UAW!$D$13:$E$23,2,0)/COUNTIFS($A$3:$A$179,A22,$D$3:$D$179,D22)</f>
        <v>0.6333333333333333</v>
      </c>
      <c r="L22">
        <f>VLOOKUP(D22,ECF!$B$18:$C$25,2,0)</f>
        <v>0.75499999999999989</v>
      </c>
      <c r="M22">
        <f>VLOOKUP(D22,TFC!$B$22:$C$29,2,0)</f>
        <v>1</v>
      </c>
      <c r="N22">
        <f t="shared" si="3"/>
        <v>8.0281666666666656</v>
      </c>
      <c r="O22" s="76">
        <f t="shared" si="4"/>
        <v>200.70416666666665</v>
      </c>
      <c r="P22" s="73">
        <f t="shared" si="5"/>
        <v>15052.812499999998</v>
      </c>
    </row>
    <row r="23" spans="1:16" x14ac:dyDescent="0.2">
      <c r="A23" s="30" t="s">
        <v>2</v>
      </c>
      <c r="B23" s="30" t="str">
        <f t="shared" si="0"/>
        <v>Zákaznícke službyCRM-BO</v>
      </c>
      <c r="C23" s="30" t="s">
        <v>2</v>
      </c>
      <c r="D23" s="31" t="s">
        <v>155</v>
      </c>
      <c r="E23" s="32" t="s">
        <v>22</v>
      </c>
      <c r="F23" s="33" t="s">
        <v>19</v>
      </c>
      <c r="G23" s="30">
        <v>0</v>
      </c>
      <c r="H23">
        <f>VLOOKUP(E23,PIVOT!$B$4:$D$165,3,0)</f>
        <v>10</v>
      </c>
      <c r="I23">
        <f t="shared" si="1"/>
        <v>1</v>
      </c>
      <c r="J23">
        <f t="shared" si="2"/>
        <v>10</v>
      </c>
      <c r="K23" s="74">
        <f>VLOOKUP(B23,UAW!$D$13:$E$23,2,0)/COUNTIFS($A$3:$A$179,A23,$D$3:$D$179,D23)</f>
        <v>0.6333333333333333</v>
      </c>
      <c r="L23">
        <f>VLOOKUP(D23,ECF!$B$18:$C$25,2,0)</f>
        <v>0.75499999999999989</v>
      </c>
      <c r="M23">
        <f>VLOOKUP(D23,TFC!$B$22:$C$29,2,0)</f>
        <v>1</v>
      </c>
      <c r="N23">
        <f t="shared" si="3"/>
        <v>8.0281666666666656</v>
      </c>
      <c r="O23" s="76">
        <f t="shared" si="4"/>
        <v>200.70416666666665</v>
      </c>
      <c r="P23" s="73">
        <f t="shared" si="5"/>
        <v>15052.812499999998</v>
      </c>
    </row>
    <row r="24" spans="1:16" ht="25.5" x14ac:dyDescent="0.2">
      <c r="A24" s="30" t="s">
        <v>2</v>
      </c>
      <c r="B24" s="30" t="str">
        <f t="shared" si="0"/>
        <v>Zákaznícke službyCRM-BO</v>
      </c>
      <c r="C24" s="30" t="s">
        <v>2</v>
      </c>
      <c r="D24" s="31" t="s">
        <v>155</v>
      </c>
      <c r="E24" s="32" t="s">
        <v>23</v>
      </c>
      <c r="F24" s="33" t="s">
        <v>19</v>
      </c>
      <c r="G24" s="30">
        <v>0</v>
      </c>
      <c r="H24">
        <f>VLOOKUP(E24,PIVOT!$B$4:$D$165,3,0)</f>
        <v>10</v>
      </c>
      <c r="I24">
        <f t="shared" si="1"/>
        <v>1</v>
      </c>
      <c r="J24">
        <f t="shared" si="2"/>
        <v>10</v>
      </c>
      <c r="K24" s="74">
        <f>VLOOKUP(B24,UAW!$D$13:$E$23,2,0)/COUNTIFS($A$3:$A$179,A24,$D$3:$D$179,D24)</f>
        <v>0.6333333333333333</v>
      </c>
      <c r="L24">
        <f>VLOOKUP(D24,ECF!$B$18:$C$25,2,0)</f>
        <v>0.75499999999999989</v>
      </c>
      <c r="M24">
        <f>VLOOKUP(D24,TFC!$B$22:$C$29,2,0)</f>
        <v>1</v>
      </c>
      <c r="N24">
        <f t="shared" si="3"/>
        <v>8.0281666666666656</v>
      </c>
      <c r="O24" s="76">
        <f t="shared" si="4"/>
        <v>200.70416666666665</v>
      </c>
      <c r="P24" s="73">
        <f t="shared" si="5"/>
        <v>15052.812499999998</v>
      </c>
    </row>
    <row r="25" spans="1:16" ht="25.5" x14ac:dyDescent="0.2">
      <c r="A25" s="30" t="s">
        <v>2</v>
      </c>
      <c r="B25" s="30" t="str">
        <f t="shared" si="0"/>
        <v>Zákaznícke službyCRM-BO</v>
      </c>
      <c r="C25" s="30" t="s">
        <v>2</v>
      </c>
      <c r="D25" s="31" t="s">
        <v>155</v>
      </c>
      <c r="E25" s="32" t="s">
        <v>24</v>
      </c>
      <c r="F25" s="33" t="s">
        <v>19</v>
      </c>
      <c r="G25" s="30">
        <v>0</v>
      </c>
      <c r="H25">
        <f>VLOOKUP(E25,PIVOT!$B$4:$D$165,3,0)</f>
        <v>10</v>
      </c>
      <c r="I25">
        <f t="shared" si="1"/>
        <v>1</v>
      </c>
      <c r="J25">
        <f t="shared" si="2"/>
        <v>10</v>
      </c>
      <c r="K25" s="74">
        <f>VLOOKUP(B25,UAW!$D$13:$E$23,2,0)/COUNTIFS($A$3:$A$179,A25,$D$3:$D$179,D25)</f>
        <v>0.6333333333333333</v>
      </c>
      <c r="L25">
        <f>VLOOKUP(D25,ECF!$B$18:$C$25,2,0)</f>
        <v>0.75499999999999989</v>
      </c>
      <c r="M25">
        <f>VLOOKUP(D25,TFC!$B$22:$C$29,2,0)</f>
        <v>1</v>
      </c>
      <c r="N25">
        <f t="shared" si="3"/>
        <v>8.0281666666666656</v>
      </c>
      <c r="O25" s="76">
        <f t="shared" si="4"/>
        <v>200.70416666666665</v>
      </c>
      <c r="P25" s="73">
        <f t="shared" si="5"/>
        <v>15052.812499999998</v>
      </c>
    </row>
    <row r="26" spans="1:16" x14ac:dyDescent="0.2">
      <c r="A26" s="30" t="s">
        <v>2</v>
      </c>
      <c r="B26" s="30" t="str">
        <f t="shared" si="0"/>
        <v>Zákaznícke službyCRM-BO</v>
      </c>
      <c r="C26" s="30" t="s">
        <v>2</v>
      </c>
      <c r="D26" s="31" t="s">
        <v>155</v>
      </c>
      <c r="E26" s="32" t="s">
        <v>27</v>
      </c>
      <c r="F26" s="33" t="s">
        <v>19</v>
      </c>
      <c r="G26" s="30">
        <v>0</v>
      </c>
      <c r="H26">
        <f>VLOOKUP(E26,PIVOT!$B$4:$D$165,3,0)</f>
        <v>10</v>
      </c>
      <c r="I26">
        <f t="shared" si="1"/>
        <v>1</v>
      </c>
      <c r="J26">
        <f t="shared" si="2"/>
        <v>10</v>
      </c>
      <c r="K26" s="74">
        <f>VLOOKUP(B26,UAW!$D$13:$E$23,2,0)/COUNTIFS($A$3:$A$179,A26,$D$3:$D$179,D26)</f>
        <v>0.6333333333333333</v>
      </c>
      <c r="L26">
        <f>VLOOKUP(D26,ECF!$B$18:$C$25,2,0)</f>
        <v>0.75499999999999989</v>
      </c>
      <c r="M26">
        <f>VLOOKUP(D26,TFC!$B$22:$C$29,2,0)</f>
        <v>1</v>
      </c>
      <c r="N26">
        <f t="shared" si="3"/>
        <v>8.0281666666666656</v>
      </c>
      <c r="O26" s="76">
        <f t="shared" si="4"/>
        <v>200.70416666666665</v>
      </c>
      <c r="P26" s="73">
        <f t="shared" si="5"/>
        <v>15052.812499999998</v>
      </c>
    </row>
    <row r="27" spans="1:16" x14ac:dyDescent="0.2">
      <c r="A27" s="30" t="s">
        <v>2</v>
      </c>
      <c r="B27" s="30" t="str">
        <f t="shared" si="0"/>
        <v>Zákaznícke službyCRM-BO</v>
      </c>
      <c r="C27" s="30" t="s">
        <v>2</v>
      </c>
      <c r="D27" s="31" t="s">
        <v>155</v>
      </c>
      <c r="E27" s="32" t="s">
        <v>25</v>
      </c>
      <c r="F27" s="33" t="s">
        <v>19</v>
      </c>
      <c r="G27" s="30">
        <v>0</v>
      </c>
      <c r="H27">
        <f>VLOOKUP(E27,PIVOT!$B$4:$D$165,3,0)</f>
        <v>5</v>
      </c>
      <c r="I27">
        <f t="shared" si="1"/>
        <v>1</v>
      </c>
      <c r="J27">
        <f t="shared" si="2"/>
        <v>5</v>
      </c>
      <c r="K27" s="74">
        <f>VLOOKUP(B27,UAW!$D$13:$E$23,2,0)/COUNTIFS($A$3:$A$179,A27,$D$3:$D$179,D27)</f>
        <v>0.6333333333333333</v>
      </c>
      <c r="L27">
        <f>VLOOKUP(D27,ECF!$B$18:$C$25,2,0)</f>
        <v>0.75499999999999989</v>
      </c>
      <c r="M27">
        <f>VLOOKUP(D27,TFC!$B$22:$C$29,2,0)</f>
        <v>1</v>
      </c>
      <c r="N27">
        <f t="shared" si="3"/>
        <v>4.2531666666666661</v>
      </c>
      <c r="O27" s="76">
        <f t="shared" si="4"/>
        <v>106.32916666666665</v>
      </c>
      <c r="P27" s="73">
        <f t="shared" si="5"/>
        <v>7974.6874999999991</v>
      </c>
    </row>
    <row r="28" spans="1:16" x14ac:dyDescent="0.2">
      <c r="A28" s="30" t="s">
        <v>2</v>
      </c>
      <c r="B28" s="30" t="str">
        <f t="shared" si="0"/>
        <v>Zákaznícke službyCRM-BO</v>
      </c>
      <c r="C28" s="30" t="s">
        <v>2</v>
      </c>
      <c r="D28" s="31" t="s">
        <v>155</v>
      </c>
      <c r="E28" s="32" t="s">
        <v>28</v>
      </c>
      <c r="F28" s="33" t="s">
        <v>19</v>
      </c>
      <c r="G28" s="30">
        <v>0</v>
      </c>
      <c r="H28">
        <f>VLOOKUP(E28,PIVOT!$B$4:$D$165,3,0)</f>
        <v>5</v>
      </c>
      <c r="I28">
        <f t="shared" si="1"/>
        <v>1</v>
      </c>
      <c r="J28">
        <f t="shared" si="2"/>
        <v>5</v>
      </c>
      <c r="K28" s="74">
        <f>VLOOKUP(B28,UAW!$D$13:$E$23,2,0)/COUNTIFS($A$3:$A$179,A28,$D$3:$D$179,D28)</f>
        <v>0.6333333333333333</v>
      </c>
      <c r="L28">
        <f>VLOOKUP(D28,ECF!$B$18:$C$25,2,0)</f>
        <v>0.75499999999999989</v>
      </c>
      <c r="M28">
        <f>VLOOKUP(D28,TFC!$B$22:$C$29,2,0)</f>
        <v>1</v>
      </c>
      <c r="N28">
        <f t="shared" si="3"/>
        <v>4.2531666666666661</v>
      </c>
      <c r="O28" s="76">
        <f t="shared" si="4"/>
        <v>106.32916666666665</v>
      </c>
      <c r="P28" s="73">
        <f t="shared" si="5"/>
        <v>7974.6874999999991</v>
      </c>
    </row>
    <row r="29" spans="1:16" x14ac:dyDescent="0.2">
      <c r="A29" s="30" t="s">
        <v>2</v>
      </c>
      <c r="B29" s="30" t="str">
        <f t="shared" si="0"/>
        <v>Zákaznícke službyCRM-BO</v>
      </c>
      <c r="C29" s="30" t="s">
        <v>2</v>
      </c>
      <c r="D29" s="31" t="s">
        <v>155</v>
      </c>
      <c r="E29" s="32" t="s">
        <v>29</v>
      </c>
      <c r="F29" s="33" t="s">
        <v>19</v>
      </c>
      <c r="G29" s="30">
        <v>0</v>
      </c>
      <c r="H29">
        <f>VLOOKUP(E29,PIVOT!$B$4:$D$165,3,0)</f>
        <v>10</v>
      </c>
      <c r="I29">
        <f t="shared" si="1"/>
        <v>1</v>
      </c>
      <c r="J29">
        <f t="shared" si="2"/>
        <v>10</v>
      </c>
      <c r="K29" s="74">
        <f>VLOOKUP(B29,UAW!$D$13:$E$23,2,0)/COUNTIFS($A$3:$A$179,A29,$D$3:$D$179,D29)</f>
        <v>0.6333333333333333</v>
      </c>
      <c r="L29">
        <f>VLOOKUP(D29,ECF!$B$18:$C$25,2,0)</f>
        <v>0.75499999999999989</v>
      </c>
      <c r="M29">
        <f>VLOOKUP(D29,TFC!$B$22:$C$29,2,0)</f>
        <v>1</v>
      </c>
      <c r="N29">
        <f t="shared" si="3"/>
        <v>8.0281666666666656</v>
      </c>
      <c r="O29" s="76">
        <f t="shared" si="4"/>
        <v>200.70416666666665</v>
      </c>
      <c r="P29" s="73">
        <f t="shared" si="5"/>
        <v>15052.812499999998</v>
      </c>
    </row>
    <row r="30" spans="1:16" x14ac:dyDescent="0.2">
      <c r="A30" s="30" t="s">
        <v>2</v>
      </c>
      <c r="B30" s="30" t="str">
        <f t="shared" si="0"/>
        <v>Zákaznícke službyCRM-BO</v>
      </c>
      <c r="C30" s="30" t="s">
        <v>2</v>
      </c>
      <c r="D30" s="31" t="s">
        <v>155</v>
      </c>
      <c r="E30" s="32" t="s">
        <v>30</v>
      </c>
      <c r="F30" s="33" t="s">
        <v>19</v>
      </c>
      <c r="G30" s="30">
        <v>0</v>
      </c>
      <c r="H30">
        <f>VLOOKUP(E30,PIVOT!$B$4:$D$165,3,0)</f>
        <v>10</v>
      </c>
      <c r="I30">
        <f t="shared" si="1"/>
        <v>1</v>
      </c>
      <c r="J30">
        <f t="shared" si="2"/>
        <v>10</v>
      </c>
      <c r="K30" s="74">
        <f>VLOOKUP(B30,UAW!$D$13:$E$23,2,0)/COUNTIFS($A$3:$A$179,A30,$D$3:$D$179,D30)</f>
        <v>0.6333333333333333</v>
      </c>
      <c r="L30">
        <f>VLOOKUP(D30,ECF!$B$18:$C$25,2,0)</f>
        <v>0.75499999999999989</v>
      </c>
      <c r="M30">
        <f>VLOOKUP(D30,TFC!$B$22:$C$29,2,0)</f>
        <v>1</v>
      </c>
      <c r="N30">
        <f t="shared" si="3"/>
        <v>8.0281666666666656</v>
      </c>
      <c r="O30" s="76">
        <f t="shared" si="4"/>
        <v>200.70416666666665</v>
      </c>
      <c r="P30" s="73">
        <f t="shared" si="5"/>
        <v>15052.812499999998</v>
      </c>
    </row>
    <row r="31" spans="1:16" x14ac:dyDescent="0.2">
      <c r="A31" s="30" t="s">
        <v>2</v>
      </c>
      <c r="B31" s="30" t="str">
        <f t="shared" si="0"/>
        <v>Zákaznícke službyCRM-BO</v>
      </c>
      <c r="C31" s="30" t="s">
        <v>2</v>
      </c>
      <c r="D31" s="31" t="s">
        <v>155</v>
      </c>
      <c r="E31" s="32" t="s">
        <v>31</v>
      </c>
      <c r="F31" s="33" t="s">
        <v>19</v>
      </c>
      <c r="G31" s="30">
        <v>0</v>
      </c>
      <c r="H31">
        <f>VLOOKUP(E31,PIVOT!$B$4:$D$165,3,0)</f>
        <v>10</v>
      </c>
      <c r="I31">
        <f t="shared" si="1"/>
        <v>1</v>
      </c>
      <c r="J31">
        <f t="shared" si="2"/>
        <v>10</v>
      </c>
      <c r="K31" s="74">
        <f>VLOOKUP(B31,UAW!$D$13:$E$23,2,0)/COUNTIFS($A$3:$A$179,A31,$D$3:$D$179,D31)</f>
        <v>0.6333333333333333</v>
      </c>
      <c r="L31">
        <f>VLOOKUP(D31,ECF!$B$18:$C$25,2,0)</f>
        <v>0.75499999999999989</v>
      </c>
      <c r="M31">
        <f>VLOOKUP(D31,TFC!$B$22:$C$29,2,0)</f>
        <v>1</v>
      </c>
      <c r="N31">
        <f t="shared" si="3"/>
        <v>8.0281666666666656</v>
      </c>
      <c r="O31" s="76">
        <f t="shared" si="4"/>
        <v>200.70416666666665</v>
      </c>
      <c r="P31" s="73">
        <f t="shared" si="5"/>
        <v>15052.812499999998</v>
      </c>
    </row>
    <row r="32" spans="1:16" x14ac:dyDescent="0.2">
      <c r="A32" s="30" t="s">
        <v>2</v>
      </c>
      <c r="B32" s="30" t="str">
        <f t="shared" si="0"/>
        <v>Zákaznícke službyCRM-BO</v>
      </c>
      <c r="C32" s="30" t="s">
        <v>2</v>
      </c>
      <c r="D32" s="31" t="s">
        <v>155</v>
      </c>
      <c r="E32" s="32" t="s">
        <v>111</v>
      </c>
      <c r="F32" s="33" t="s">
        <v>19</v>
      </c>
      <c r="G32" s="30">
        <v>0</v>
      </c>
      <c r="H32">
        <f>VLOOKUP(E32,PIVOT!$B$4:$D$165,3,0)</f>
        <v>10</v>
      </c>
      <c r="I32">
        <f t="shared" si="1"/>
        <v>1</v>
      </c>
      <c r="J32">
        <f t="shared" si="2"/>
        <v>10</v>
      </c>
      <c r="K32" s="74">
        <f>VLOOKUP(B32,UAW!$D$13:$E$23,2,0)/COUNTIFS($A$3:$A$179,A32,$D$3:$D$179,D32)</f>
        <v>0.6333333333333333</v>
      </c>
      <c r="L32">
        <f>VLOOKUP(D32,ECF!$B$18:$C$25,2,0)</f>
        <v>0.75499999999999989</v>
      </c>
      <c r="M32">
        <f>VLOOKUP(D32,TFC!$B$22:$C$29,2,0)</f>
        <v>1</v>
      </c>
      <c r="N32">
        <f t="shared" si="3"/>
        <v>8.0281666666666656</v>
      </c>
      <c r="O32" s="76">
        <f t="shared" si="4"/>
        <v>200.70416666666665</v>
      </c>
      <c r="P32" s="73">
        <f t="shared" si="5"/>
        <v>15052.812499999998</v>
      </c>
    </row>
    <row r="33" spans="1:16" x14ac:dyDescent="0.2">
      <c r="A33" s="30" t="s">
        <v>2</v>
      </c>
      <c r="B33" s="30" t="str">
        <f t="shared" si="0"/>
        <v>Zákaznícke službyÚčtovná evidencia</v>
      </c>
      <c r="C33" s="30" t="s">
        <v>215</v>
      </c>
      <c r="D33" s="31" t="s">
        <v>221</v>
      </c>
      <c r="E33" s="32" t="s">
        <v>26</v>
      </c>
      <c r="F33" s="33" t="s">
        <v>19</v>
      </c>
      <c r="G33" s="30">
        <v>0</v>
      </c>
      <c r="H33">
        <f>VLOOKUP(E33,PIVOT!$B$4:$D$165,3,0)</f>
        <v>10</v>
      </c>
      <c r="I33">
        <f t="shared" si="1"/>
        <v>1</v>
      </c>
      <c r="J33">
        <f t="shared" si="2"/>
        <v>10</v>
      </c>
      <c r="K33" s="74">
        <f>VLOOKUP(B33,UAW!$D$13:$E$23,2,0)/COUNTIFS($A$3:$A$179,A33,$D$3:$D$179,D33)</f>
        <v>2.5</v>
      </c>
      <c r="L33">
        <f>VLOOKUP(D33,ECF!$B$18:$C$25,2,0)</f>
        <v>0.74</v>
      </c>
      <c r="M33">
        <f>VLOOKUP(D33,TFC!$B$22:$C$29,2,0)</f>
        <v>1.02</v>
      </c>
      <c r="N33">
        <f t="shared" si="3"/>
        <v>9.4350000000000005</v>
      </c>
      <c r="O33" s="76">
        <f t="shared" si="4"/>
        <v>235.875</v>
      </c>
      <c r="P33" s="73">
        <f t="shared" si="5"/>
        <v>17690.625</v>
      </c>
    </row>
    <row r="34" spans="1:16" x14ac:dyDescent="0.2">
      <c r="A34" s="30" t="s">
        <v>2</v>
      </c>
      <c r="B34" s="30" t="str">
        <f t="shared" si="0"/>
        <v>Zákaznícke službyÚčtovná evidencia</v>
      </c>
      <c r="C34" s="30" t="s">
        <v>215</v>
      </c>
      <c r="D34" s="31" t="s">
        <v>221</v>
      </c>
      <c r="E34" s="32" t="s">
        <v>21</v>
      </c>
      <c r="F34" s="33" t="s">
        <v>19</v>
      </c>
      <c r="G34" s="30">
        <v>0</v>
      </c>
      <c r="H34">
        <f>VLOOKUP(E34,PIVOT!$B$4:$D$165,3,0)</f>
        <v>10</v>
      </c>
      <c r="I34">
        <f t="shared" si="1"/>
        <v>1</v>
      </c>
      <c r="J34">
        <f t="shared" si="2"/>
        <v>10</v>
      </c>
      <c r="K34" s="74">
        <f>VLOOKUP(B34,UAW!$D$13:$E$23,2,0)/COUNTIFS($A$3:$A$179,A34,$D$3:$D$179,D34)</f>
        <v>2.5</v>
      </c>
      <c r="L34">
        <f>VLOOKUP(D34,ECF!$B$18:$C$25,2,0)</f>
        <v>0.74</v>
      </c>
      <c r="M34">
        <f>VLOOKUP(D34,TFC!$B$22:$C$29,2,0)</f>
        <v>1.02</v>
      </c>
      <c r="N34">
        <f t="shared" si="3"/>
        <v>9.4350000000000005</v>
      </c>
      <c r="O34" s="76">
        <f t="shared" si="4"/>
        <v>235.875</v>
      </c>
      <c r="P34" s="73">
        <f t="shared" si="5"/>
        <v>17690.625</v>
      </c>
    </row>
    <row r="35" spans="1:16" ht="25.5" x14ac:dyDescent="0.2">
      <c r="A35" s="30" t="s">
        <v>2</v>
      </c>
      <c r="B35" s="30" t="str">
        <f t="shared" si="0"/>
        <v>Zákaznícke službyÚčtovná evidencia</v>
      </c>
      <c r="C35" s="30" t="s">
        <v>215</v>
      </c>
      <c r="D35" s="31" t="s">
        <v>221</v>
      </c>
      <c r="E35" s="32" t="s">
        <v>23</v>
      </c>
      <c r="F35" s="33" t="s">
        <v>19</v>
      </c>
      <c r="G35" s="30">
        <v>0</v>
      </c>
      <c r="H35">
        <f>VLOOKUP(E35,PIVOT!$B$4:$D$165,3,0)</f>
        <v>10</v>
      </c>
      <c r="I35">
        <f t="shared" si="1"/>
        <v>1</v>
      </c>
      <c r="J35">
        <f t="shared" si="2"/>
        <v>10</v>
      </c>
      <c r="K35" s="74">
        <f>VLOOKUP(B35,UAW!$D$13:$E$23,2,0)/COUNTIFS($A$3:$A$179,A35,$D$3:$D$179,D35)</f>
        <v>2.5</v>
      </c>
      <c r="L35">
        <f>VLOOKUP(D35,ECF!$B$18:$C$25,2,0)</f>
        <v>0.74</v>
      </c>
      <c r="M35">
        <f>VLOOKUP(D35,TFC!$B$22:$C$29,2,0)</f>
        <v>1.02</v>
      </c>
      <c r="N35">
        <f t="shared" si="3"/>
        <v>9.4350000000000005</v>
      </c>
      <c r="O35" s="76">
        <f t="shared" si="4"/>
        <v>235.875</v>
      </c>
      <c r="P35" s="73">
        <f t="shared" si="5"/>
        <v>17690.625</v>
      </c>
    </row>
    <row r="36" spans="1:16" ht="25.5" x14ac:dyDescent="0.2">
      <c r="A36" s="30" t="s">
        <v>2</v>
      </c>
      <c r="B36" s="30" t="str">
        <f t="shared" si="0"/>
        <v>Zákaznícke službyÚčtovná evidencia</v>
      </c>
      <c r="C36" s="30" t="s">
        <v>215</v>
      </c>
      <c r="D36" s="31" t="s">
        <v>221</v>
      </c>
      <c r="E36" s="32" t="s">
        <v>24</v>
      </c>
      <c r="F36" s="33" t="s">
        <v>19</v>
      </c>
      <c r="G36" s="30">
        <v>0</v>
      </c>
      <c r="H36">
        <f>VLOOKUP(E36,PIVOT!$B$4:$D$165,3,0)</f>
        <v>10</v>
      </c>
      <c r="I36">
        <f t="shared" si="1"/>
        <v>1</v>
      </c>
      <c r="J36">
        <f t="shared" si="2"/>
        <v>10</v>
      </c>
      <c r="K36" s="74">
        <f>VLOOKUP(B36,UAW!$D$13:$E$23,2,0)/COUNTIFS($A$3:$A$179,A36,$D$3:$D$179,D36)</f>
        <v>2.5</v>
      </c>
      <c r="L36">
        <f>VLOOKUP(D36,ECF!$B$18:$C$25,2,0)</f>
        <v>0.74</v>
      </c>
      <c r="M36">
        <f>VLOOKUP(D36,TFC!$B$22:$C$29,2,0)</f>
        <v>1.02</v>
      </c>
      <c r="N36">
        <f t="shared" si="3"/>
        <v>9.4350000000000005</v>
      </c>
      <c r="O36" s="76">
        <f t="shared" si="4"/>
        <v>235.875</v>
      </c>
      <c r="P36" s="73">
        <f t="shared" si="5"/>
        <v>17690.625</v>
      </c>
    </row>
    <row r="37" spans="1:16" x14ac:dyDescent="0.2">
      <c r="A37" s="30" t="s">
        <v>2</v>
      </c>
      <c r="B37" s="30" t="str">
        <f t="shared" si="0"/>
        <v>Zákaznícke službyÚčtovná evidencia</v>
      </c>
      <c r="C37" s="30" t="s">
        <v>215</v>
      </c>
      <c r="D37" s="31" t="s">
        <v>221</v>
      </c>
      <c r="E37" s="32" t="s">
        <v>27</v>
      </c>
      <c r="F37" s="33" t="s">
        <v>19</v>
      </c>
      <c r="G37" s="30">
        <v>0</v>
      </c>
      <c r="H37">
        <f>VLOOKUP(E37,PIVOT!$B$4:$D$165,3,0)</f>
        <v>10</v>
      </c>
      <c r="I37">
        <f t="shared" si="1"/>
        <v>1</v>
      </c>
      <c r="J37">
        <f t="shared" si="2"/>
        <v>10</v>
      </c>
      <c r="K37" s="74">
        <f>VLOOKUP(B37,UAW!$D$13:$E$23,2,0)/COUNTIFS($A$3:$A$179,A37,$D$3:$D$179,D37)</f>
        <v>2.5</v>
      </c>
      <c r="L37">
        <f>VLOOKUP(D37,ECF!$B$18:$C$25,2,0)</f>
        <v>0.74</v>
      </c>
      <c r="M37">
        <f>VLOOKUP(D37,TFC!$B$22:$C$29,2,0)</f>
        <v>1.02</v>
      </c>
      <c r="N37">
        <f t="shared" si="3"/>
        <v>9.4350000000000005</v>
      </c>
      <c r="O37" s="76">
        <f t="shared" si="4"/>
        <v>235.875</v>
      </c>
      <c r="P37" s="73">
        <f t="shared" si="5"/>
        <v>17690.625</v>
      </c>
    </row>
    <row r="38" spans="1:16" x14ac:dyDescent="0.2">
      <c r="A38" s="30" t="s">
        <v>2</v>
      </c>
      <c r="B38" s="30" t="str">
        <f t="shared" si="0"/>
        <v>Zákaznícke službyÚčtovná evidencia</v>
      </c>
      <c r="C38" s="30" t="s">
        <v>215</v>
      </c>
      <c r="D38" s="31" t="s">
        <v>221</v>
      </c>
      <c r="E38" s="32" t="s">
        <v>25</v>
      </c>
      <c r="F38" s="33" t="s">
        <v>19</v>
      </c>
      <c r="G38" s="30">
        <v>0</v>
      </c>
      <c r="H38">
        <f>VLOOKUP(E38,PIVOT!$B$4:$D$165,3,0)</f>
        <v>5</v>
      </c>
      <c r="I38">
        <f t="shared" si="1"/>
        <v>1</v>
      </c>
      <c r="J38">
        <f t="shared" si="2"/>
        <v>5</v>
      </c>
      <c r="K38" s="74">
        <f>VLOOKUP(B38,UAW!$D$13:$E$23,2,0)/COUNTIFS($A$3:$A$179,A38,$D$3:$D$179,D38)</f>
        <v>2.5</v>
      </c>
      <c r="L38">
        <f>VLOOKUP(D38,ECF!$B$18:$C$25,2,0)</f>
        <v>0.74</v>
      </c>
      <c r="M38">
        <f>VLOOKUP(D38,TFC!$B$22:$C$29,2,0)</f>
        <v>1.02</v>
      </c>
      <c r="N38">
        <f t="shared" si="3"/>
        <v>5.6609999999999996</v>
      </c>
      <c r="O38" s="76">
        <f t="shared" si="4"/>
        <v>141.52499999999998</v>
      </c>
      <c r="P38" s="73">
        <f t="shared" si="5"/>
        <v>10614.374999999998</v>
      </c>
    </row>
    <row r="39" spans="1:16" x14ac:dyDescent="0.2">
      <c r="A39" s="30" t="s">
        <v>2</v>
      </c>
      <c r="B39" s="30" t="str">
        <f t="shared" si="0"/>
        <v>Zákaznícke službyRegistratúra Archív</v>
      </c>
      <c r="C39" s="30" t="s">
        <v>215</v>
      </c>
      <c r="D39" s="31" t="s">
        <v>222</v>
      </c>
      <c r="E39" s="32" t="s">
        <v>41</v>
      </c>
      <c r="F39" s="33" t="s">
        <v>19</v>
      </c>
      <c r="G39" s="30">
        <v>0</v>
      </c>
      <c r="H39">
        <f>VLOOKUP(E39,PIVOT!$B$4:$D$165,3,0)</f>
        <v>15</v>
      </c>
      <c r="I39">
        <f t="shared" si="1"/>
        <v>1</v>
      </c>
      <c r="J39">
        <f t="shared" si="2"/>
        <v>15</v>
      </c>
      <c r="K39" s="74">
        <f>VLOOKUP(B39,UAW!$D$13:$E$23,2,0)/COUNTIFS($A$3:$A$179,A39,$D$3:$D$179,D39)</f>
        <v>7.5</v>
      </c>
      <c r="L39">
        <f>VLOOKUP(D39,ECF!$B$18:$C$25,2,0)</f>
        <v>0.74</v>
      </c>
      <c r="M39">
        <f>VLOOKUP(D39,TFC!$B$22:$C$29,2,0)</f>
        <v>1.02</v>
      </c>
      <c r="N39">
        <f t="shared" si="3"/>
        <v>16.983000000000001</v>
      </c>
      <c r="O39" s="76">
        <f t="shared" si="4"/>
        <v>424.57499999999999</v>
      </c>
      <c r="P39" s="73">
        <f t="shared" si="5"/>
        <v>31843.125</v>
      </c>
    </row>
    <row r="40" spans="1:16" x14ac:dyDescent="0.2">
      <c r="A40" s="30" t="s">
        <v>2</v>
      </c>
      <c r="B40" s="30" t="str">
        <f t="shared" si="0"/>
        <v>Zákaznícke službyRegistratúra Archív</v>
      </c>
      <c r="C40" s="30" t="s">
        <v>215</v>
      </c>
      <c r="D40" s="31" t="s">
        <v>222</v>
      </c>
      <c r="E40" s="32" t="s">
        <v>67</v>
      </c>
      <c r="F40" s="33" t="s">
        <v>19</v>
      </c>
      <c r="G40" s="30">
        <v>0</v>
      </c>
      <c r="H40">
        <f>VLOOKUP(E40,PIVOT!$B$4:$D$165,3,0)</f>
        <v>15</v>
      </c>
      <c r="I40">
        <f t="shared" si="1"/>
        <v>1</v>
      </c>
      <c r="J40">
        <f t="shared" si="2"/>
        <v>15</v>
      </c>
      <c r="K40" s="74">
        <f>VLOOKUP(B40,UAW!$D$13:$E$23,2,0)/COUNTIFS($A$3:$A$179,A40,$D$3:$D$179,D40)</f>
        <v>7.5</v>
      </c>
      <c r="L40">
        <f>VLOOKUP(D40,ECF!$B$18:$C$25,2,0)</f>
        <v>0.74</v>
      </c>
      <c r="M40">
        <f>VLOOKUP(D40,TFC!$B$22:$C$29,2,0)</f>
        <v>1.02</v>
      </c>
      <c r="N40">
        <f t="shared" si="3"/>
        <v>16.983000000000001</v>
      </c>
      <c r="O40" s="76">
        <f t="shared" si="4"/>
        <v>424.57499999999999</v>
      </c>
      <c r="P40" s="73">
        <f t="shared" si="5"/>
        <v>31843.125</v>
      </c>
    </row>
    <row r="41" spans="1:16" x14ac:dyDescent="0.2">
      <c r="A41" s="30" t="s">
        <v>176</v>
      </c>
      <c r="B41" s="30" t="str">
        <f t="shared" si="0"/>
        <v>Poskytovanie a prevádzka Palubných jednotiekSystém riadenia logistiky</v>
      </c>
      <c r="C41" s="30" t="s">
        <v>216</v>
      </c>
      <c r="D41" s="31" t="s">
        <v>198</v>
      </c>
      <c r="E41" s="32" t="s">
        <v>114</v>
      </c>
      <c r="F41" s="33" t="s">
        <v>110</v>
      </c>
      <c r="G41" s="30">
        <v>0</v>
      </c>
      <c r="H41">
        <f>VLOOKUP(E41,PIVOT!$B$4:$D$165,3,0)</f>
        <v>5</v>
      </c>
      <c r="I41">
        <f t="shared" si="1"/>
        <v>1</v>
      </c>
      <c r="J41">
        <f t="shared" si="2"/>
        <v>5</v>
      </c>
      <c r="K41" s="74">
        <f>VLOOKUP(B41,UAW!$D$13:$E$23,2,0)/COUNTIFS($A$3:$A$179,A41,$D$3:$D$179,D41)</f>
        <v>0.75</v>
      </c>
      <c r="L41">
        <f>VLOOKUP(D41,ECF!$B$18:$C$25,2,0)</f>
        <v>0.96499999999999986</v>
      </c>
      <c r="M41">
        <f>VLOOKUP(D41,TFC!$B$22:$C$29,2,0)</f>
        <v>1.02</v>
      </c>
      <c r="N41">
        <f t="shared" si="3"/>
        <v>5.659724999999999</v>
      </c>
      <c r="O41" s="76">
        <f t="shared" si="4"/>
        <v>141.49312499999996</v>
      </c>
      <c r="P41" s="73">
        <f t="shared" si="5"/>
        <v>10611.984374999996</v>
      </c>
    </row>
    <row r="42" spans="1:16" ht="25.5" x14ac:dyDescent="0.2">
      <c r="A42" s="30" t="s">
        <v>176</v>
      </c>
      <c r="B42" s="30" t="str">
        <f t="shared" si="0"/>
        <v>Poskytovanie a prevádzka Palubných jednotiekSystém riadenia logistiky</v>
      </c>
      <c r="C42" s="30" t="s">
        <v>216</v>
      </c>
      <c r="D42" s="31" t="s">
        <v>198</v>
      </c>
      <c r="E42" s="32" t="s">
        <v>133</v>
      </c>
      <c r="F42" s="33" t="s">
        <v>110</v>
      </c>
      <c r="G42" s="30">
        <v>0</v>
      </c>
      <c r="H42">
        <f>VLOOKUP(E42,PIVOT!$B$4:$D$165,3,0)</f>
        <v>10</v>
      </c>
      <c r="I42">
        <f t="shared" si="1"/>
        <v>1</v>
      </c>
      <c r="J42">
        <f t="shared" si="2"/>
        <v>10</v>
      </c>
      <c r="K42" s="74">
        <f>VLOOKUP(B42,UAW!$D$13:$E$23,2,0)/COUNTIFS($A$3:$A$179,A42,$D$3:$D$179,D42)</f>
        <v>0.75</v>
      </c>
      <c r="L42">
        <f>VLOOKUP(D42,ECF!$B$18:$C$25,2,0)</f>
        <v>0.96499999999999986</v>
      </c>
      <c r="M42">
        <f>VLOOKUP(D42,TFC!$B$22:$C$29,2,0)</f>
        <v>1.02</v>
      </c>
      <c r="N42">
        <f t="shared" si="3"/>
        <v>10.581224999999998</v>
      </c>
      <c r="O42" s="76">
        <f t="shared" si="4"/>
        <v>264.53062499999993</v>
      </c>
      <c r="P42" s="73">
        <f t="shared" si="5"/>
        <v>19839.796874999996</v>
      </c>
    </row>
    <row r="43" spans="1:16" x14ac:dyDescent="0.2">
      <c r="A43" s="30" t="s">
        <v>176</v>
      </c>
      <c r="B43" s="30" t="str">
        <f t="shared" si="0"/>
        <v>Poskytovanie a prevádzka Palubných jednotiekSystém riadenia logistiky</v>
      </c>
      <c r="C43" s="30" t="s">
        <v>216</v>
      </c>
      <c r="D43" s="31" t="s">
        <v>198</v>
      </c>
      <c r="E43" s="32" t="s">
        <v>115</v>
      </c>
      <c r="F43" s="33" t="s">
        <v>110</v>
      </c>
      <c r="G43" s="30">
        <v>0</v>
      </c>
      <c r="H43">
        <f>VLOOKUP(E43,PIVOT!$B$4:$D$165,3,0)</f>
        <v>5</v>
      </c>
      <c r="I43">
        <f t="shared" si="1"/>
        <v>1</v>
      </c>
      <c r="J43">
        <f t="shared" si="2"/>
        <v>5</v>
      </c>
      <c r="K43" s="74">
        <f>VLOOKUP(B43,UAW!$D$13:$E$23,2,0)/COUNTIFS($A$3:$A$179,A43,$D$3:$D$179,D43)</f>
        <v>0.75</v>
      </c>
      <c r="L43">
        <f>VLOOKUP(D43,ECF!$B$18:$C$25,2,0)</f>
        <v>0.96499999999999986</v>
      </c>
      <c r="M43">
        <f>VLOOKUP(D43,TFC!$B$22:$C$29,2,0)</f>
        <v>1.02</v>
      </c>
      <c r="N43">
        <f t="shared" si="3"/>
        <v>5.659724999999999</v>
      </c>
      <c r="O43" s="76">
        <f t="shared" si="4"/>
        <v>141.49312499999996</v>
      </c>
      <c r="P43" s="73">
        <f t="shared" si="5"/>
        <v>10611.984374999996</v>
      </c>
    </row>
    <row r="44" spans="1:16" x14ac:dyDescent="0.2">
      <c r="A44" s="30" t="s">
        <v>176</v>
      </c>
      <c r="B44" s="30" t="str">
        <f t="shared" si="0"/>
        <v>Poskytovanie a prevádzka Palubných jednotiekSystém riadenia logistiky</v>
      </c>
      <c r="C44" s="30" t="s">
        <v>216</v>
      </c>
      <c r="D44" s="31" t="s">
        <v>198</v>
      </c>
      <c r="E44" s="32" t="s">
        <v>116</v>
      </c>
      <c r="F44" s="33" t="s">
        <v>110</v>
      </c>
      <c r="G44" s="30">
        <v>0</v>
      </c>
      <c r="H44">
        <f>VLOOKUP(E44,PIVOT!$B$4:$D$165,3,0)</f>
        <v>10</v>
      </c>
      <c r="I44">
        <f t="shared" si="1"/>
        <v>1</v>
      </c>
      <c r="J44">
        <f t="shared" si="2"/>
        <v>10</v>
      </c>
      <c r="K44" s="74">
        <f>VLOOKUP(B44,UAW!$D$13:$E$23,2,0)/COUNTIFS($A$3:$A$179,A44,$D$3:$D$179,D44)</f>
        <v>0.75</v>
      </c>
      <c r="L44">
        <f>VLOOKUP(D44,ECF!$B$18:$C$25,2,0)</f>
        <v>0.96499999999999986</v>
      </c>
      <c r="M44">
        <f>VLOOKUP(D44,TFC!$B$22:$C$29,2,0)</f>
        <v>1.02</v>
      </c>
      <c r="N44">
        <f t="shared" si="3"/>
        <v>10.581224999999998</v>
      </c>
      <c r="O44" s="76">
        <f t="shared" si="4"/>
        <v>264.53062499999993</v>
      </c>
      <c r="P44" s="73">
        <f t="shared" si="5"/>
        <v>19839.796874999996</v>
      </c>
    </row>
    <row r="45" spans="1:16" ht="25.5" x14ac:dyDescent="0.2">
      <c r="A45" s="30" t="s">
        <v>176</v>
      </c>
      <c r="B45" s="30" t="str">
        <f t="shared" si="0"/>
        <v>Poskytovanie a prevádzka Palubných jednotiekSystém riadenia logistiky</v>
      </c>
      <c r="C45" s="30" t="s">
        <v>216</v>
      </c>
      <c r="D45" s="31" t="s">
        <v>198</v>
      </c>
      <c r="E45" s="32" t="s">
        <v>117</v>
      </c>
      <c r="F45" s="33" t="s">
        <v>110</v>
      </c>
      <c r="G45" s="30">
        <v>0</v>
      </c>
      <c r="H45">
        <f>VLOOKUP(E45,PIVOT!$B$4:$D$165,3,0)</f>
        <v>10</v>
      </c>
      <c r="I45">
        <f t="shared" si="1"/>
        <v>1</v>
      </c>
      <c r="J45">
        <f t="shared" si="2"/>
        <v>10</v>
      </c>
      <c r="K45" s="74">
        <f>VLOOKUP(B45,UAW!$D$13:$E$23,2,0)/COUNTIFS($A$3:$A$179,A45,$D$3:$D$179,D45)</f>
        <v>0.75</v>
      </c>
      <c r="L45">
        <f>VLOOKUP(D45,ECF!$B$18:$C$25,2,0)</f>
        <v>0.96499999999999986</v>
      </c>
      <c r="M45">
        <f>VLOOKUP(D45,TFC!$B$22:$C$29,2,0)</f>
        <v>1.02</v>
      </c>
      <c r="N45">
        <f t="shared" si="3"/>
        <v>10.581224999999998</v>
      </c>
      <c r="O45" s="76">
        <f t="shared" si="4"/>
        <v>264.53062499999993</v>
      </c>
      <c r="P45" s="73">
        <f t="shared" si="5"/>
        <v>19839.796874999996</v>
      </c>
    </row>
    <row r="46" spans="1:16" ht="25.5" x14ac:dyDescent="0.2">
      <c r="A46" s="30" t="s">
        <v>176</v>
      </c>
      <c r="B46" s="30" t="str">
        <f t="shared" si="0"/>
        <v>Poskytovanie a prevádzka Palubných jednotiekSystém riadenia logistiky</v>
      </c>
      <c r="C46" s="30" t="s">
        <v>216</v>
      </c>
      <c r="D46" s="31" t="s">
        <v>198</v>
      </c>
      <c r="E46" s="32" t="s">
        <v>125</v>
      </c>
      <c r="F46" s="33" t="s">
        <v>110</v>
      </c>
      <c r="G46" s="30">
        <v>0</v>
      </c>
      <c r="H46">
        <f>VLOOKUP(E46,PIVOT!$B$4:$D$165,3,0)</f>
        <v>10</v>
      </c>
      <c r="I46">
        <f t="shared" si="1"/>
        <v>1</v>
      </c>
      <c r="J46">
        <f t="shared" si="2"/>
        <v>10</v>
      </c>
      <c r="K46" s="74">
        <f>VLOOKUP(B46,UAW!$D$13:$E$23,2,0)/COUNTIFS($A$3:$A$179,A46,$D$3:$D$179,D46)</f>
        <v>0.75</v>
      </c>
      <c r="L46">
        <f>VLOOKUP(D46,ECF!$B$18:$C$25,2,0)</f>
        <v>0.96499999999999986</v>
      </c>
      <c r="M46">
        <f>VLOOKUP(D46,TFC!$B$22:$C$29,2,0)</f>
        <v>1.02</v>
      </c>
      <c r="N46">
        <f t="shared" si="3"/>
        <v>10.581224999999998</v>
      </c>
      <c r="O46" s="76">
        <f t="shared" si="4"/>
        <v>264.53062499999993</v>
      </c>
      <c r="P46" s="73">
        <f t="shared" si="5"/>
        <v>19839.796874999996</v>
      </c>
    </row>
    <row r="47" spans="1:16" x14ac:dyDescent="0.2">
      <c r="A47" s="30" t="s">
        <v>176</v>
      </c>
      <c r="B47" s="30" t="str">
        <f t="shared" si="0"/>
        <v>Poskytovanie a prevádzka Palubných jednotiekSystém riadenia logistiky</v>
      </c>
      <c r="C47" s="30" t="s">
        <v>216</v>
      </c>
      <c r="D47" s="31" t="s">
        <v>198</v>
      </c>
      <c r="E47" s="32" t="s">
        <v>129</v>
      </c>
      <c r="F47" s="33" t="s">
        <v>110</v>
      </c>
      <c r="G47" s="30">
        <v>0</v>
      </c>
      <c r="H47">
        <f>VLOOKUP(E47,PIVOT!$B$4:$D$165,3,0)</f>
        <v>10</v>
      </c>
      <c r="I47">
        <f t="shared" si="1"/>
        <v>1</v>
      </c>
      <c r="J47">
        <f t="shared" si="2"/>
        <v>10</v>
      </c>
      <c r="K47" s="74">
        <f>VLOOKUP(B47,UAW!$D$13:$E$23,2,0)/COUNTIFS($A$3:$A$179,A47,$D$3:$D$179,D47)</f>
        <v>0.75</v>
      </c>
      <c r="L47">
        <f>VLOOKUP(D47,ECF!$B$18:$C$25,2,0)</f>
        <v>0.96499999999999986</v>
      </c>
      <c r="M47">
        <f>VLOOKUP(D47,TFC!$B$22:$C$29,2,0)</f>
        <v>1.02</v>
      </c>
      <c r="N47">
        <f t="shared" si="3"/>
        <v>10.581224999999998</v>
      </c>
      <c r="O47" s="76">
        <f t="shared" si="4"/>
        <v>264.53062499999993</v>
      </c>
      <c r="P47" s="73">
        <f t="shared" si="5"/>
        <v>19839.796874999996</v>
      </c>
    </row>
    <row r="48" spans="1:16" x14ac:dyDescent="0.2">
      <c r="A48" s="30" t="s">
        <v>176</v>
      </c>
      <c r="B48" s="30" t="str">
        <f t="shared" si="0"/>
        <v>Poskytovanie a prevádzka Palubných jednotiekSystém riadenia logistiky</v>
      </c>
      <c r="C48" s="30" t="s">
        <v>216</v>
      </c>
      <c r="D48" s="31" t="s">
        <v>198</v>
      </c>
      <c r="E48" s="32" t="s">
        <v>11</v>
      </c>
      <c r="F48" s="33" t="s">
        <v>110</v>
      </c>
      <c r="G48" s="30">
        <v>0</v>
      </c>
      <c r="H48">
        <f>VLOOKUP(E48,PIVOT!$B$4:$D$165,3,0)</f>
        <v>5</v>
      </c>
      <c r="I48">
        <f t="shared" si="1"/>
        <v>1</v>
      </c>
      <c r="J48">
        <f t="shared" si="2"/>
        <v>5</v>
      </c>
      <c r="K48" s="74">
        <f>VLOOKUP(B48,UAW!$D$13:$E$23,2,0)/COUNTIFS($A$3:$A$179,A48,$D$3:$D$179,D48)</f>
        <v>0.75</v>
      </c>
      <c r="L48">
        <f>VLOOKUP(D48,ECF!$B$18:$C$25,2,0)</f>
        <v>0.96499999999999986</v>
      </c>
      <c r="M48">
        <f>VLOOKUP(D48,TFC!$B$22:$C$29,2,0)</f>
        <v>1.02</v>
      </c>
      <c r="N48">
        <f t="shared" si="3"/>
        <v>5.659724999999999</v>
      </c>
      <c r="O48" s="76">
        <f t="shared" si="4"/>
        <v>141.49312499999996</v>
      </c>
      <c r="P48" s="73">
        <f t="shared" si="5"/>
        <v>10611.984374999996</v>
      </c>
    </row>
    <row r="49" spans="1:16" x14ac:dyDescent="0.2">
      <c r="A49" s="30" t="s">
        <v>176</v>
      </c>
      <c r="B49" s="30" t="str">
        <f t="shared" si="0"/>
        <v>Poskytovanie a prevádzka Palubných jednotiekSystém riadenia logistiky</v>
      </c>
      <c r="C49" s="30" t="s">
        <v>216</v>
      </c>
      <c r="D49" s="31" t="s">
        <v>198</v>
      </c>
      <c r="E49" s="32" t="s">
        <v>130</v>
      </c>
      <c r="F49" s="33" t="s">
        <v>110</v>
      </c>
      <c r="G49" s="30">
        <v>0</v>
      </c>
      <c r="H49">
        <f>VLOOKUP(E49,PIVOT!$B$4:$D$165,3,0)</f>
        <v>10</v>
      </c>
      <c r="I49">
        <f t="shared" si="1"/>
        <v>1</v>
      </c>
      <c r="J49">
        <f t="shared" si="2"/>
        <v>10</v>
      </c>
      <c r="K49" s="74">
        <f>VLOOKUP(B49,UAW!$D$13:$E$23,2,0)/COUNTIFS($A$3:$A$179,A49,$D$3:$D$179,D49)</f>
        <v>0.75</v>
      </c>
      <c r="L49">
        <f>VLOOKUP(D49,ECF!$B$18:$C$25,2,0)</f>
        <v>0.96499999999999986</v>
      </c>
      <c r="M49">
        <f>VLOOKUP(D49,TFC!$B$22:$C$29,2,0)</f>
        <v>1.02</v>
      </c>
      <c r="N49">
        <f t="shared" si="3"/>
        <v>10.581224999999998</v>
      </c>
      <c r="O49" s="76">
        <f t="shared" si="4"/>
        <v>264.53062499999993</v>
      </c>
      <c r="P49" s="73">
        <f t="shared" si="5"/>
        <v>19839.796874999996</v>
      </c>
    </row>
    <row r="50" spans="1:16" ht="38.25" x14ac:dyDescent="0.2">
      <c r="A50" s="30" t="s">
        <v>176</v>
      </c>
      <c r="B50" s="30" t="str">
        <f t="shared" si="0"/>
        <v>Poskytovanie a prevádzka Palubných jednotiekSystém riadenia logistiky</v>
      </c>
      <c r="C50" s="30" t="s">
        <v>216</v>
      </c>
      <c r="D50" s="31" t="s">
        <v>198</v>
      </c>
      <c r="E50" s="32" t="s">
        <v>132</v>
      </c>
      <c r="F50" s="33" t="s">
        <v>110</v>
      </c>
      <c r="G50" s="30">
        <v>0</v>
      </c>
      <c r="H50">
        <f>VLOOKUP(E50,PIVOT!$B$4:$D$165,3,0)</f>
        <v>15</v>
      </c>
      <c r="I50">
        <f t="shared" si="1"/>
        <v>1</v>
      </c>
      <c r="J50">
        <f t="shared" si="2"/>
        <v>15</v>
      </c>
      <c r="K50" s="74">
        <f>VLOOKUP(B50,UAW!$D$13:$E$23,2,0)/COUNTIFS($A$3:$A$179,A50,$D$3:$D$179,D50)</f>
        <v>0.75</v>
      </c>
      <c r="L50">
        <f>VLOOKUP(D50,ECF!$B$18:$C$25,2,0)</f>
        <v>0.96499999999999986</v>
      </c>
      <c r="M50">
        <f>VLOOKUP(D50,TFC!$B$22:$C$29,2,0)</f>
        <v>1.02</v>
      </c>
      <c r="N50">
        <f t="shared" si="3"/>
        <v>15.502724999999996</v>
      </c>
      <c r="O50" s="76">
        <f t="shared" si="4"/>
        <v>387.5681249999999</v>
      </c>
      <c r="P50" s="73">
        <f t="shared" si="5"/>
        <v>29067.609374999993</v>
      </c>
    </row>
    <row r="51" spans="1:16" x14ac:dyDescent="0.2">
      <c r="A51" s="30" t="s">
        <v>176</v>
      </c>
      <c r="B51" s="30" t="str">
        <f t="shared" si="0"/>
        <v>Poskytovanie a prevádzka Palubných jednotiekSystém riadenia logistiky</v>
      </c>
      <c r="C51" s="30" t="s">
        <v>216</v>
      </c>
      <c r="D51" s="31" t="s">
        <v>198</v>
      </c>
      <c r="E51" s="32" t="s">
        <v>134</v>
      </c>
      <c r="F51" s="33" t="s">
        <v>110</v>
      </c>
      <c r="G51" s="30">
        <v>0</v>
      </c>
      <c r="H51">
        <f>VLOOKUP(E51,PIVOT!$B$4:$D$165,3,0)</f>
        <v>10</v>
      </c>
      <c r="I51">
        <f t="shared" si="1"/>
        <v>1</v>
      </c>
      <c r="J51">
        <f t="shared" si="2"/>
        <v>10</v>
      </c>
      <c r="K51" s="74">
        <f>VLOOKUP(B51,UAW!$D$13:$E$23,2,0)/COUNTIFS($A$3:$A$179,A51,$D$3:$D$179,D51)</f>
        <v>0.75</v>
      </c>
      <c r="L51">
        <f>VLOOKUP(D51,ECF!$B$18:$C$25,2,0)</f>
        <v>0.96499999999999986</v>
      </c>
      <c r="M51">
        <f>VLOOKUP(D51,TFC!$B$22:$C$29,2,0)</f>
        <v>1.02</v>
      </c>
      <c r="N51">
        <f t="shared" si="3"/>
        <v>10.581224999999998</v>
      </c>
      <c r="O51" s="76">
        <f t="shared" si="4"/>
        <v>264.53062499999993</v>
      </c>
      <c r="P51" s="73">
        <f t="shared" si="5"/>
        <v>19839.796874999996</v>
      </c>
    </row>
    <row r="52" spans="1:16" x14ac:dyDescent="0.2">
      <c r="A52" s="30" t="s">
        <v>176</v>
      </c>
      <c r="B52" s="30" t="str">
        <f t="shared" si="0"/>
        <v>Poskytovanie a prevádzka Palubných jednotiekSystém riadenia logistiky</v>
      </c>
      <c r="C52" s="30" t="s">
        <v>216</v>
      </c>
      <c r="D52" s="31" t="s">
        <v>198</v>
      </c>
      <c r="E52" s="32" t="s">
        <v>135</v>
      </c>
      <c r="F52" s="33" t="s">
        <v>110</v>
      </c>
      <c r="G52" s="30">
        <v>0</v>
      </c>
      <c r="H52">
        <f>VLOOKUP(E52,PIVOT!$B$4:$D$165,3,0)</f>
        <v>10</v>
      </c>
      <c r="I52">
        <f t="shared" si="1"/>
        <v>1</v>
      </c>
      <c r="J52">
        <f t="shared" si="2"/>
        <v>10</v>
      </c>
      <c r="K52" s="74">
        <f>VLOOKUP(B52,UAW!$D$13:$E$23,2,0)/COUNTIFS($A$3:$A$179,A52,$D$3:$D$179,D52)</f>
        <v>0.75</v>
      </c>
      <c r="L52">
        <f>VLOOKUP(D52,ECF!$B$18:$C$25,2,0)</f>
        <v>0.96499999999999986</v>
      </c>
      <c r="M52">
        <f>VLOOKUP(D52,TFC!$B$22:$C$29,2,0)</f>
        <v>1.02</v>
      </c>
      <c r="N52">
        <f t="shared" si="3"/>
        <v>10.581224999999998</v>
      </c>
      <c r="O52" s="76">
        <f t="shared" si="4"/>
        <v>264.53062499999993</v>
      </c>
      <c r="P52" s="73">
        <f t="shared" si="5"/>
        <v>19839.796874999996</v>
      </c>
    </row>
    <row r="53" spans="1:16" x14ac:dyDescent="0.2">
      <c r="A53" s="30" t="s">
        <v>176</v>
      </c>
      <c r="B53" s="30" t="str">
        <f t="shared" si="0"/>
        <v>Poskytovanie a prevádzka Palubných jednotiekET-BO Proxy</v>
      </c>
      <c r="C53" s="30" t="s">
        <v>217</v>
      </c>
      <c r="D53" s="31" t="s">
        <v>199</v>
      </c>
      <c r="E53" s="32" t="s">
        <v>118</v>
      </c>
      <c r="F53" s="33" t="s">
        <v>110</v>
      </c>
      <c r="G53" s="30">
        <v>0</v>
      </c>
      <c r="H53">
        <f>VLOOKUP(E53,PIVOT!$B$4:$D$165,3,0)</f>
        <v>10</v>
      </c>
      <c r="I53">
        <f t="shared" si="1"/>
        <v>1</v>
      </c>
      <c r="J53">
        <f t="shared" si="2"/>
        <v>10</v>
      </c>
      <c r="K53" s="74">
        <f>VLOOKUP(B53,UAW!$D$13:$E$23,2,0)/COUNTIFS($A$3:$A$179,A53,$D$3:$D$179,D53)</f>
        <v>2.8571428571428572</v>
      </c>
      <c r="L53">
        <f>VLOOKUP(D53,ECF!$B$18:$C$25,2,0)</f>
        <v>0.96499999999999986</v>
      </c>
      <c r="M53">
        <f>VLOOKUP(D53,TFC!$B$22:$C$29,2,0)</f>
        <v>1.08</v>
      </c>
      <c r="N53">
        <f t="shared" si="3"/>
        <v>13.399714285714285</v>
      </c>
      <c r="O53" s="76">
        <f t="shared" si="4"/>
        <v>334.99285714285713</v>
      </c>
      <c r="P53" s="73">
        <f t="shared" si="5"/>
        <v>25124.464285714286</v>
      </c>
    </row>
    <row r="54" spans="1:16" x14ac:dyDescent="0.2">
      <c r="A54" s="30" t="s">
        <v>176</v>
      </c>
      <c r="B54" s="30" t="str">
        <f t="shared" si="0"/>
        <v>Poskytovanie a prevádzka Palubných jednotiekET-BO Proxy</v>
      </c>
      <c r="C54" s="30" t="s">
        <v>217</v>
      </c>
      <c r="D54" s="31" t="s">
        <v>199</v>
      </c>
      <c r="E54" s="32" t="s">
        <v>143</v>
      </c>
      <c r="F54" s="33" t="s">
        <v>110</v>
      </c>
      <c r="G54" s="30">
        <v>0</v>
      </c>
      <c r="H54">
        <f>VLOOKUP(E54,PIVOT!$B$4:$D$165,3,0)</f>
        <v>10</v>
      </c>
      <c r="I54">
        <f t="shared" si="1"/>
        <v>1</v>
      </c>
      <c r="J54">
        <f t="shared" si="2"/>
        <v>10</v>
      </c>
      <c r="K54" s="74">
        <f>VLOOKUP(B54,UAW!$D$13:$E$23,2,0)/COUNTIFS($A$3:$A$179,A54,$D$3:$D$179,D54)</f>
        <v>2.8571428571428572</v>
      </c>
      <c r="L54">
        <f>VLOOKUP(D54,ECF!$B$18:$C$25,2,0)</f>
        <v>0.96499999999999986</v>
      </c>
      <c r="M54">
        <f>VLOOKUP(D54,TFC!$B$22:$C$29,2,0)</f>
        <v>1.08</v>
      </c>
      <c r="N54">
        <f t="shared" si="3"/>
        <v>13.399714285714285</v>
      </c>
      <c r="O54" s="76">
        <f t="shared" si="4"/>
        <v>334.99285714285713</v>
      </c>
      <c r="P54" s="73">
        <f t="shared" si="5"/>
        <v>25124.464285714286</v>
      </c>
    </row>
    <row r="55" spans="1:16" ht="25.5" x14ac:dyDescent="0.2">
      <c r="A55" s="30" t="s">
        <v>176</v>
      </c>
      <c r="B55" s="30" t="str">
        <f t="shared" si="0"/>
        <v>Poskytovanie a prevádzka Palubných jednotiekET-BO Proxy</v>
      </c>
      <c r="C55" s="30" t="s">
        <v>217</v>
      </c>
      <c r="D55" s="31" t="s">
        <v>199</v>
      </c>
      <c r="E55" s="32" t="s">
        <v>147</v>
      </c>
      <c r="F55" s="33" t="s">
        <v>110</v>
      </c>
      <c r="G55" s="30">
        <v>0</v>
      </c>
      <c r="H55">
        <f>VLOOKUP(E55,PIVOT!$B$4:$D$165,3,0)</f>
        <v>10</v>
      </c>
      <c r="I55">
        <f t="shared" si="1"/>
        <v>1</v>
      </c>
      <c r="J55">
        <f t="shared" si="2"/>
        <v>10</v>
      </c>
      <c r="K55" s="74">
        <f>VLOOKUP(B55,UAW!$D$13:$E$23,2,0)/COUNTIFS($A$3:$A$179,A55,$D$3:$D$179,D55)</f>
        <v>2.8571428571428572</v>
      </c>
      <c r="L55">
        <f>VLOOKUP(D55,ECF!$B$18:$C$25,2,0)</f>
        <v>0.96499999999999986</v>
      </c>
      <c r="M55">
        <f>VLOOKUP(D55,TFC!$B$22:$C$29,2,0)</f>
        <v>1.08</v>
      </c>
      <c r="N55">
        <f t="shared" si="3"/>
        <v>13.399714285714285</v>
      </c>
      <c r="O55" s="76">
        <f t="shared" si="4"/>
        <v>334.99285714285713</v>
      </c>
      <c r="P55" s="73">
        <f t="shared" si="5"/>
        <v>25124.464285714286</v>
      </c>
    </row>
    <row r="56" spans="1:16" ht="25.5" x14ac:dyDescent="0.2">
      <c r="A56" s="30" t="s">
        <v>176</v>
      </c>
      <c r="B56" s="30" t="str">
        <f t="shared" si="0"/>
        <v>Poskytovanie a prevádzka Palubných jednotiekET-BO Proxy</v>
      </c>
      <c r="C56" s="30" t="s">
        <v>217</v>
      </c>
      <c r="D56" s="31" t="s">
        <v>199</v>
      </c>
      <c r="E56" s="32" t="s">
        <v>148</v>
      </c>
      <c r="F56" s="33" t="s">
        <v>110</v>
      </c>
      <c r="G56" s="30">
        <v>0</v>
      </c>
      <c r="H56">
        <f>VLOOKUP(E56,PIVOT!$B$4:$D$165,3,0)</f>
        <v>10</v>
      </c>
      <c r="I56">
        <f t="shared" si="1"/>
        <v>1</v>
      </c>
      <c r="J56">
        <f t="shared" si="2"/>
        <v>10</v>
      </c>
      <c r="K56" s="74">
        <f>VLOOKUP(B56,UAW!$D$13:$E$23,2,0)/COUNTIFS($A$3:$A$179,A56,$D$3:$D$179,D56)</f>
        <v>2.8571428571428572</v>
      </c>
      <c r="L56">
        <f>VLOOKUP(D56,ECF!$B$18:$C$25,2,0)</f>
        <v>0.96499999999999986</v>
      </c>
      <c r="M56">
        <f>VLOOKUP(D56,TFC!$B$22:$C$29,2,0)</f>
        <v>1.08</v>
      </c>
      <c r="N56">
        <f t="shared" si="3"/>
        <v>13.399714285714285</v>
      </c>
      <c r="O56" s="76">
        <f t="shared" si="4"/>
        <v>334.99285714285713</v>
      </c>
      <c r="P56" s="73">
        <f t="shared" si="5"/>
        <v>25124.464285714286</v>
      </c>
    </row>
    <row r="57" spans="1:16" ht="25.5" x14ac:dyDescent="0.2">
      <c r="A57" s="30" t="s">
        <v>176</v>
      </c>
      <c r="B57" s="30" t="str">
        <f t="shared" si="0"/>
        <v>Poskytovanie a prevádzka Palubných jednotiekET-BO Proxy</v>
      </c>
      <c r="C57" s="30" t="s">
        <v>217</v>
      </c>
      <c r="D57" s="31" t="s">
        <v>199</v>
      </c>
      <c r="E57" s="32" t="s">
        <v>144</v>
      </c>
      <c r="F57" s="33" t="s">
        <v>110</v>
      </c>
      <c r="G57" s="30">
        <v>0</v>
      </c>
      <c r="H57">
        <f>VLOOKUP(E57,PIVOT!$B$4:$D$165,3,0)</f>
        <v>10</v>
      </c>
      <c r="I57">
        <f t="shared" si="1"/>
        <v>1</v>
      </c>
      <c r="J57">
        <f t="shared" si="2"/>
        <v>10</v>
      </c>
      <c r="K57" s="74">
        <f>VLOOKUP(B57,UAW!$D$13:$E$23,2,0)/COUNTIFS($A$3:$A$179,A57,$D$3:$D$179,D57)</f>
        <v>2.8571428571428572</v>
      </c>
      <c r="L57">
        <f>VLOOKUP(D57,ECF!$B$18:$C$25,2,0)</f>
        <v>0.96499999999999986</v>
      </c>
      <c r="M57">
        <f>VLOOKUP(D57,TFC!$B$22:$C$29,2,0)</f>
        <v>1.08</v>
      </c>
      <c r="N57">
        <f t="shared" si="3"/>
        <v>13.399714285714285</v>
      </c>
      <c r="O57" s="76">
        <f t="shared" si="4"/>
        <v>334.99285714285713</v>
      </c>
      <c r="P57" s="73">
        <f t="shared" si="5"/>
        <v>25124.464285714286</v>
      </c>
    </row>
    <row r="58" spans="1:16" ht="38.25" x14ac:dyDescent="0.2">
      <c r="A58" s="30" t="s">
        <v>176</v>
      </c>
      <c r="B58" s="30" t="str">
        <f t="shared" si="0"/>
        <v>Poskytovanie a prevádzka Palubných jednotiekET-BO Proxy</v>
      </c>
      <c r="C58" s="30" t="s">
        <v>217</v>
      </c>
      <c r="D58" s="31" t="s">
        <v>199</v>
      </c>
      <c r="E58" s="32" t="s">
        <v>149</v>
      </c>
      <c r="F58" s="33" t="s">
        <v>110</v>
      </c>
      <c r="G58" s="30">
        <v>0</v>
      </c>
      <c r="H58">
        <f>VLOOKUP(E58,PIVOT!$B$4:$D$165,3,0)</f>
        <v>10</v>
      </c>
      <c r="I58">
        <f t="shared" si="1"/>
        <v>1</v>
      </c>
      <c r="J58">
        <f t="shared" si="2"/>
        <v>10</v>
      </c>
      <c r="K58" s="74">
        <f>VLOOKUP(B58,UAW!$D$13:$E$23,2,0)/COUNTIFS($A$3:$A$179,A58,$D$3:$D$179,D58)</f>
        <v>2.8571428571428572</v>
      </c>
      <c r="L58">
        <f>VLOOKUP(D58,ECF!$B$18:$C$25,2,0)</f>
        <v>0.96499999999999986</v>
      </c>
      <c r="M58">
        <f>VLOOKUP(D58,TFC!$B$22:$C$29,2,0)</f>
        <v>1.08</v>
      </c>
      <c r="N58">
        <f t="shared" si="3"/>
        <v>13.399714285714285</v>
      </c>
      <c r="O58" s="76">
        <f t="shared" si="4"/>
        <v>334.99285714285713</v>
      </c>
      <c r="P58" s="73">
        <f t="shared" si="5"/>
        <v>25124.464285714286</v>
      </c>
    </row>
    <row r="59" spans="1:16" ht="25.5" x14ac:dyDescent="0.2">
      <c r="A59" s="30" t="s">
        <v>176</v>
      </c>
      <c r="B59" s="30" t="str">
        <f t="shared" si="0"/>
        <v>Poskytovanie a prevádzka Palubných jednotiekET-BO Proxy</v>
      </c>
      <c r="C59" s="30" t="s">
        <v>217</v>
      </c>
      <c r="D59" s="31" t="s">
        <v>199</v>
      </c>
      <c r="E59" s="32" t="s">
        <v>145</v>
      </c>
      <c r="F59" s="33" t="s">
        <v>110</v>
      </c>
      <c r="G59" s="30">
        <v>0</v>
      </c>
      <c r="H59">
        <f>VLOOKUP(E59,PIVOT!$B$4:$D$165,3,0)</f>
        <v>10</v>
      </c>
      <c r="I59">
        <f t="shared" si="1"/>
        <v>1</v>
      </c>
      <c r="J59">
        <f t="shared" si="2"/>
        <v>10</v>
      </c>
      <c r="K59" s="74">
        <f>VLOOKUP(B59,UAW!$D$13:$E$23,2,0)/COUNTIFS($A$3:$A$179,A59,$D$3:$D$179,D59)</f>
        <v>2.8571428571428572</v>
      </c>
      <c r="L59">
        <f>VLOOKUP(D59,ECF!$B$18:$C$25,2,0)</f>
        <v>0.96499999999999986</v>
      </c>
      <c r="M59">
        <f>VLOOKUP(D59,TFC!$B$22:$C$29,2,0)</f>
        <v>1.08</v>
      </c>
      <c r="N59">
        <f t="shared" si="3"/>
        <v>13.399714285714285</v>
      </c>
      <c r="O59" s="76">
        <f t="shared" si="4"/>
        <v>334.99285714285713</v>
      </c>
      <c r="P59" s="73">
        <f t="shared" si="5"/>
        <v>25124.464285714286</v>
      </c>
    </row>
    <row r="60" spans="1:16" ht="38.25" x14ac:dyDescent="0.2">
      <c r="A60" s="30" t="s">
        <v>176</v>
      </c>
      <c r="B60" s="30" t="str">
        <f t="shared" si="0"/>
        <v>Poskytovanie a prevádzka Palubných jednotiekET-BO Proxy</v>
      </c>
      <c r="C60" s="30" t="s">
        <v>217</v>
      </c>
      <c r="D60" s="31" t="s">
        <v>199</v>
      </c>
      <c r="E60" s="32" t="s">
        <v>146</v>
      </c>
      <c r="F60" s="33" t="s">
        <v>110</v>
      </c>
      <c r="G60" s="30">
        <v>0</v>
      </c>
      <c r="H60">
        <f>VLOOKUP(E60,PIVOT!$B$4:$D$165,3,0)</f>
        <v>10</v>
      </c>
      <c r="I60">
        <f t="shared" si="1"/>
        <v>1</v>
      </c>
      <c r="J60">
        <f t="shared" si="2"/>
        <v>10</v>
      </c>
      <c r="K60" s="74">
        <f>VLOOKUP(B60,UAW!$D$13:$E$23,2,0)/COUNTIFS($A$3:$A$179,A60,$D$3:$D$179,D60)</f>
        <v>2.8571428571428572</v>
      </c>
      <c r="L60">
        <f>VLOOKUP(D60,ECF!$B$18:$C$25,2,0)</f>
        <v>0.96499999999999986</v>
      </c>
      <c r="M60">
        <f>VLOOKUP(D60,TFC!$B$22:$C$29,2,0)</f>
        <v>1.08</v>
      </c>
      <c r="N60">
        <f t="shared" si="3"/>
        <v>13.399714285714285</v>
      </c>
      <c r="O60" s="76">
        <f t="shared" si="4"/>
        <v>334.99285714285713</v>
      </c>
      <c r="P60" s="73">
        <f t="shared" si="5"/>
        <v>25124.464285714286</v>
      </c>
    </row>
    <row r="61" spans="1:16" ht="25.5" x14ac:dyDescent="0.2">
      <c r="A61" s="30" t="s">
        <v>176</v>
      </c>
      <c r="B61" s="30" t="str">
        <f t="shared" si="0"/>
        <v>Poskytovanie a prevádzka Palubných jednotiekET-BO Proxy</v>
      </c>
      <c r="C61" s="30" t="s">
        <v>217</v>
      </c>
      <c r="D61" s="31" t="s">
        <v>199</v>
      </c>
      <c r="E61" s="32" t="s">
        <v>120</v>
      </c>
      <c r="F61" s="33" t="s">
        <v>110</v>
      </c>
      <c r="G61" s="30">
        <v>0</v>
      </c>
      <c r="H61">
        <f>VLOOKUP(E61,PIVOT!$B$4:$D$165,3,0)</f>
        <v>10</v>
      </c>
      <c r="I61">
        <f t="shared" si="1"/>
        <v>1</v>
      </c>
      <c r="J61">
        <f t="shared" si="2"/>
        <v>10</v>
      </c>
      <c r="K61" s="74">
        <f>VLOOKUP(B61,UAW!$D$13:$E$23,2,0)/COUNTIFS($A$3:$A$179,A61,$D$3:$D$179,D61)</f>
        <v>2.8571428571428572</v>
      </c>
      <c r="L61">
        <f>VLOOKUP(D61,ECF!$B$18:$C$25,2,0)</f>
        <v>0.96499999999999986</v>
      </c>
      <c r="M61">
        <f>VLOOKUP(D61,TFC!$B$22:$C$29,2,0)</f>
        <v>1.08</v>
      </c>
      <c r="N61">
        <f t="shared" si="3"/>
        <v>13.399714285714285</v>
      </c>
      <c r="O61" s="76">
        <f t="shared" si="4"/>
        <v>334.99285714285713</v>
      </c>
      <c r="P61" s="73">
        <f t="shared" si="5"/>
        <v>25124.464285714286</v>
      </c>
    </row>
    <row r="62" spans="1:16" ht="25.5" x14ac:dyDescent="0.2">
      <c r="A62" s="30" t="s">
        <v>176</v>
      </c>
      <c r="B62" s="30" t="str">
        <f t="shared" si="0"/>
        <v>Poskytovanie a prevádzka Palubných jednotiekET-BO Proxy</v>
      </c>
      <c r="C62" s="30" t="s">
        <v>217</v>
      </c>
      <c r="D62" s="31" t="s">
        <v>199</v>
      </c>
      <c r="E62" s="32" t="s">
        <v>119</v>
      </c>
      <c r="F62" s="33" t="s">
        <v>110</v>
      </c>
      <c r="G62" s="30">
        <v>0</v>
      </c>
      <c r="H62">
        <f>VLOOKUP(E62,PIVOT!$B$4:$D$165,3,0)</f>
        <v>10</v>
      </c>
      <c r="I62">
        <f t="shared" si="1"/>
        <v>1</v>
      </c>
      <c r="J62">
        <f t="shared" si="2"/>
        <v>10</v>
      </c>
      <c r="K62" s="74">
        <f>VLOOKUP(B62,UAW!$D$13:$E$23,2,0)/COUNTIFS($A$3:$A$179,A62,$D$3:$D$179,D62)</f>
        <v>2.8571428571428572</v>
      </c>
      <c r="L62">
        <f>VLOOKUP(D62,ECF!$B$18:$C$25,2,0)</f>
        <v>0.96499999999999986</v>
      </c>
      <c r="M62">
        <f>VLOOKUP(D62,TFC!$B$22:$C$29,2,0)</f>
        <v>1.08</v>
      </c>
      <c r="N62">
        <f t="shared" si="3"/>
        <v>13.399714285714285</v>
      </c>
      <c r="O62" s="76">
        <f t="shared" si="4"/>
        <v>334.99285714285713</v>
      </c>
      <c r="P62" s="73">
        <f t="shared" si="5"/>
        <v>25124.464285714286</v>
      </c>
    </row>
    <row r="63" spans="1:16" x14ac:dyDescent="0.2">
      <c r="A63" s="30" t="s">
        <v>176</v>
      </c>
      <c r="B63" s="30" t="str">
        <f t="shared" si="0"/>
        <v>Poskytovanie a prevádzka Palubných jednotiekET-BO Proxy</v>
      </c>
      <c r="C63" s="30" t="s">
        <v>217</v>
      </c>
      <c r="D63" s="31" t="s">
        <v>199</v>
      </c>
      <c r="E63" s="32" t="s">
        <v>121</v>
      </c>
      <c r="F63" s="33" t="s">
        <v>110</v>
      </c>
      <c r="G63" s="30">
        <v>0</v>
      </c>
      <c r="H63">
        <f>VLOOKUP(E63,PIVOT!$B$4:$D$165,3,0)</f>
        <v>10</v>
      </c>
      <c r="I63">
        <f t="shared" si="1"/>
        <v>1</v>
      </c>
      <c r="J63">
        <f t="shared" si="2"/>
        <v>10</v>
      </c>
      <c r="K63" s="74">
        <f>VLOOKUP(B63,UAW!$D$13:$E$23,2,0)/COUNTIFS($A$3:$A$179,A63,$D$3:$D$179,D63)</f>
        <v>2.8571428571428572</v>
      </c>
      <c r="L63">
        <f>VLOOKUP(D63,ECF!$B$18:$C$25,2,0)</f>
        <v>0.96499999999999986</v>
      </c>
      <c r="M63">
        <f>VLOOKUP(D63,TFC!$B$22:$C$29,2,0)</f>
        <v>1.08</v>
      </c>
      <c r="N63">
        <f t="shared" si="3"/>
        <v>13.399714285714285</v>
      </c>
      <c r="O63" s="76">
        <f t="shared" si="4"/>
        <v>334.99285714285713</v>
      </c>
      <c r="P63" s="73">
        <f t="shared" si="5"/>
        <v>25124.464285714286</v>
      </c>
    </row>
    <row r="64" spans="1:16" x14ac:dyDescent="0.2">
      <c r="A64" s="30" t="s">
        <v>176</v>
      </c>
      <c r="B64" s="30" t="str">
        <f t="shared" si="0"/>
        <v>Poskytovanie a prevádzka Palubných jednotiekET-BO Proxy</v>
      </c>
      <c r="C64" s="30" t="s">
        <v>217</v>
      </c>
      <c r="D64" s="31" t="s">
        <v>199</v>
      </c>
      <c r="E64" s="32" t="s">
        <v>150</v>
      </c>
      <c r="F64" s="33" t="s">
        <v>110</v>
      </c>
      <c r="G64" s="30">
        <v>0</v>
      </c>
      <c r="H64">
        <f>VLOOKUP(E64,PIVOT!$B$4:$D$165,3,0)</f>
        <v>10</v>
      </c>
      <c r="I64">
        <f t="shared" si="1"/>
        <v>1</v>
      </c>
      <c r="J64">
        <f t="shared" si="2"/>
        <v>10</v>
      </c>
      <c r="K64" s="74">
        <f>VLOOKUP(B64,UAW!$D$13:$E$23,2,0)/COUNTIFS($A$3:$A$179,A64,$D$3:$D$179,D64)</f>
        <v>2.8571428571428572</v>
      </c>
      <c r="L64">
        <f>VLOOKUP(D64,ECF!$B$18:$C$25,2,0)</f>
        <v>0.96499999999999986</v>
      </c>
      <c r="M64">
        <f>VLOOKUP(D64,TFC!$B$22:$C$29,2,0)</f>
        <v>1.08</v>
      </c>
      <c r="N64">
        <f t="shared" si="3"/>
        <v>13.399714285714285</v>
      </c>
      <c r="O64" s="76">
        <f t="shared" si="4"/>
        <v>334.99285714285713</v>
      </c>
      <c r="P64" s="73">
        <f t="shared" si="5"/>
        <v>25124.464285714286</v>
      </c>
    </row>
    <row r="65" spans="1:16" x14ac:dyDescent="0.2">
      <c r="A65" s="30" t="s">
        <v>176</v>
      </c>
      <c r="B65" s="30" t="str">
        <f t="shared" si="0"/>
        <v>Poskytovanie a prevádzka Palubných jednotiekET-BO Proxy</v>
      </c>
      <c r="C65" s="30" t="s">
        <v>217</v>
      </c>
      <c r="D65" s="31" t="s">
        <v>199</v>
      </c>
      <c r="E65" s="32" t="s">
        <v>122</v>
      </c>
      <c r="F65" s="33" t="s">
        <v>110</v>
      </c>
      <c r="G65" s="30">
        <v>0</v>
      </c>
      <c r="H65">
        <f>VLOOKUP(E65,PIVOT!$B$4:$D$165,3,0)</f>
        <v>10</v>
      </c>
      <c r="I65">
        <f t="shared" si="1"/>
        <v>1</v>
      </c>
      <c r="J65">
        <f t="shared" si="2"/>
        <v>10</v>
      </c>
      <c r="K65" s="74">
        <f>VLOOKUP(B65,UAW!$D$13:$E$23,2,0)/COUNTIFS($A$3:$A$179,A65,$D$3:$D$179,D65)</f>
        <v>2.8571428571428572</v>
      </c>
      <c r="L65">
        <f>VLOOKUP(D65,ECF!$B$18:$C$25,2,0)</f>
        <v>0.96499999999999986</v>
      </c>
      <c r="M65">
        <f>VLOOKUP(D65,TFC!$B$22:$C$29,2,0)</f>
        <v>1.08</v>
      </c>
      <c r="N65">
        <f t="shared" si="3"/>
        <v>13.399714285714285</v>
      </c>
      <c r="O65" s="76">
        <f t="shared" si="4"/>
        <v>334.99285714285713</v>
      </c>
      <c r="P65" s="73">
        <f t="shared" si="5"/>
        <v>25124.464285714286</v>
      </c>
    </row>
    <row r="66" spans="1:16" ht="25.5" x14ac:dyDescent="0.2">
      <c r="A66" s="30" t="s">
        <v>176</v>
      </c>
      <c r="B66" s="30" t="str">
        <f t="shared" si="0"/>
        <v>Poskytovanie a prevádzka Palubných jednotiekET-BO Proxy</v>
      </c>
      <c r="C66" s="30" t="s">
        <v>217</v>
      </c>
      <c r="D66" s="31" t="s">
        <v>199</v>
      </c>
      <c r="E66" s="32" t="s">
        <v>123</v>
      </c>
      <c r="F66" s="33" t="s">
        <v>110</v>
      </c>
      <c r="G66" s="30">
        <v>0</v>
      </c>
      <c r="H66">
        <f>VLOOKUP(E66,PIVOT!$B$4:$D$165,3,0)</f>
        <v>10</v>
      </c>
      <c r="I66">
        <f t="shared" si="1"/>
        <v>1</v>
      </c>
      <c r="J66">
        <f t="shared" si="2"/>
        <v>10</v>
      </c>
      <c r="K66" s="74">
        <f>VLOOKUP(B66,UAW!$D$13:$E$23,2,0)/COUNTIFS($A$3:$A$179,A66,$D$3:$D$179,D66)</f>
        <v>2.8571428571428572</v>
      </c>
      <c r="L66">
        <f>VLOOKUP(D66,ECF!$B$18:$C$25,2,0)</f>
        <v>0.96499999999999986</v>
      </c>
      <c r="M66">
        <f>VLOOKUP(D66,TFC!$B$22:$C$29,2,0)</f>
        <v>1.08</v>
      </c>
      <c r="N66">
        <f t="shared" si="3"/>
        <v>13.399714285714285</v>
      </c>
      <c r="O66" s="76">
        <f t="shared" si="4"/>
        <v>334.99285714285713</v>
      </c>
      <c r="P66" s="73">
        <f t="shared" si="5"/>
        <v>25124.464285714286</v>
      </c>
    </row>
    <row r="67" spans="1:16" ht="25.5" x14ac:dyDescent="0.2">
      <c r="A67" s="30" t="s">
        <v>176</v>
      </c>
      <c r="B67" s="30" t="str">
        <f t="shared" si="0"/>
        <v>Poskytovanie a prevádzka Palubných jednotiekET-BO Proxy</v>
      </c>
      <c r="C67" s="30" t="s">
        <v>217</v>
      </c>
      <c r="D67" s="31" t="s">
        <v>199</v>
      </c>
      <c r="E67" s="32" t="s">
        <v>151</v>
      </c>
      <c r="F67" s="33" t="s">
        <v>110</v>
      </c>
      <c r="G67" s="30">
        <v>0</v>
      </c>
      <c r="H67">
        <f>VLOOKUP(E67,PIVOT!$B$4:$D$165,3,0)</f>
        <v>10</v>
      </c>
      <c r="I67">
        <f t="shared" si="1"/>
        <v>1</v>
      </c>
      <c r="J67">
        <f t="shared" si="2"/>
        <v>10</v>
      </c>
      <c r="K67" s="74">
        <f>VLOOKUP(B67,UAW!$D$13:$E$23,2,0)/COUNTIFS($A$3:$A$179,A67,$D$3:$D$179,D67)</f>
        <v>2.8571428571428572</v>
      </c>
      <c r="L67">
        <f>VLOOKUP(D67,ECF!$B$18:$C$25,2,0)</f>
        <v>0.96499999999999986</v>
      </c>
      <c r="M67">
        <f>VLOOKUP(D67,TFC!$B$22:$C$29,2,0)</f>
        <v>1.08</v>
      </c>
      <c r="N67">
        <f t="shared" si="3"/>
        <v>13.399714285714285</v>
      </c>
      <c r="O67" s="76">
        <f t="shared" si="4"/>
        <v>334.99285714285713</v>
      </c>
      <c r="P67" s="73">
        <f t="shared" si="5"/>
        <v>25124.464285714286</v>
      </c>
    </row>
    <row r="68" spans="1:16" x14ac:dyDescent="0.2">
      <c r="A68" s="30" t="s">
        <v>176</v>
      </c>
      <c r="B68" s="30" t="str">
        <f t="shared" ref="B68:B131" si="6">A68&amp;D68</f>
        <v>Poskytovanie a prevádzka Palubných jednotiekET-BO Proxy</v>
      </c>
      <c r="C68" s="30" t="s">
        <v>217</v>
      </c>
      <c r="D68" s="31" t="s">
        <v>199</v>
      </c>
      <c r="E68" s="32" t="s">
        <v>131</v>
      </c>
      <c r="F68" s="33" t="s">
        <v>110</v>
      </c>
      <c r="G68" s="30">
        <v>0</v>
      </c>
      <c r="H68">
        <f>VLOOKUP(E68,PIVOT!$B$4:$D$165,3,0)</f>
        <v>5</v>
      </c>
      <c r="I68">
        <f t="shared" ref="I68:I131" si="7">IF(G68=0,1,G68)</f>
        <v>1</v>
      </c>
      <c r="J68">
        <f t="shared" ref="J68:J131" si="8">H68*I68</f>
        <v>5</v>
      </c>
      <c r="K68" s="74">
        <f>VLOOKUP(B68,UAW!$D$13:$E$23,2,0)/COUNTIFS($A$3:$A$179,A68,$D$3:$D$179,D68)</f>
        <v>2.8571428571428572</v>
      </c>
      <c r="L68">
        <f>VLOOKUP(D68,ECF!$B$18:$C$25,2,0)</f>
        <v>0.96499999999999986</v>
      </c>
      <c r="M68">
        <f>VLOOKUP(D68,TFC!$B$22:$C$29,2,0)</f>
        <v>1.08</v>
      </c>
      <c r="N68">
        <f t="shared" ref="N68:N131" si="9">(J68+K68)*L68*M68</f>
        <v>8.1887142857142852</v>
      </c>
      <c r="O68" s="76">
        <f t="shared" ref="O68:O131" si="10">N68*$S$3</f>
        <v>204.71785714285713</v>
      </c>
      <c r="P68" s="73">
        <f t="shared" ref="P68:P131" si="11">O68*$R$3</f>
        <v>15353.839285714284</v>
      </c>
    </row>
    <row r="69" spans="1:16" x14ac:dyDescent="0.2">
      <c r="A69" s="30" t="s">
        <v>176</v>
      </c>
      <c r="B69" s="30" t="str">
        <f t="shared" si="6"/>
        <v>Poskytovanie a prevádzka Palubných jednotiekET-BO Proxy</v>
      </c>
      <c r="C69" s="30" t="s">
        <v>217</v>
      </c>
      <c r="D69" s="31" t="s">
        <v>199</v>
      </c>
      <c r="E69" s="32" t="s">
        <v>126</v>
      </c>
      <c r="F69" s="33" t="s">
        <v>110</v>
      </c>
      <c r="G69" s="30">
        <v>0</v>
      </c>
      <c r="H69">
        <f>VLOOKUP(E69,PIVOT!$B$4:$D$165,3,0)</f>
        <v>15</v>
      </c>
      <c r="I69">
        <f t="shared" si="7"/>
        <v>1</v>
      </c>
      <c r="J69">
        <f t="shared" si="8"/>
        <v>15</v>
      </c>
      <c r="K69" s="74">
        <f>VLOOKUP(B69,UAW!$D$13:$E$23,2,0)/COUNTIFS($A$3:$A$179,A69,$D$3:$D$179,D69)</f>
        <v>2.8571428571428572</v>
      </c>
      <c r="L69">
        <f>VLOOKUP(D69,ECF!$B$18:$C$25,2,0)</f>
        <v>0.96499999999999986</v>
      </c>
      <c r="M69">
        <f>VLOOKUP(D69,TFC!$B$22:$C$29,2,0)</f>
        <v>1.08</v>
      </c>
      <c r="N69">
        <f t="shared" si="9"/>
        <v>18.610714285714284</v>
      </c>
      <c r="O69" s="76">
        <f t="shared" si="10"/>
        <v>465.26785714285711</v>
      </c>
      <c r="P69" s="73">
        <f t="shared" si="11"/>
        <v>34895.089285714283</v>
      </c>
    </row>
    <row r="70" spans="1:16" x14ac:dyDescent="0.2">
      <c r="A70" s="30" t="s">
        <v>176</v>
      </c>
      <c r="B70" s="30" t="str">
        <f t="shared" si="6"/>
        <v>Poskytovanie a prevádzka Palubných jednotiekET-BO Proxy</v>
      </c>
      <c r="C70" s="30" t="s">
        <v>217</v>
      </c>
      <c r="D70" s="31" t="s">
        <v>199</v>
      </c>
      <c r="E70" s="32" t="s">
        <v>136</v>
      </c>
      <c r="F70" s="33" t="s">
        <v>110</v>
      </c>
      <c r="G70" s="30">
        <v>0</v>
      </c>
      <c r="H70">
        <f>VLOOKUP(E70,PIVOT!$B$4:$D$165,3,0)</f>
        <v>10</v>
      </c>
      <c r="I70">
        <f t="shared" si="7"/>
        <v>1</v>
      </c>
      <c r="J70">
        <f t="shared" si="8"/>
        <v>10</v>
      </c>
      <c r="K70" s="74">
        <f>VLOOKUP(B70,UAW!$D$13:$E$23,2,0)/COUNTIFS($A$3:$A$179,A70,$D$3:$D$179,D70)</f>
        <v>2.8571428571428572</v>
      </c>
      <c r="L70">
        <f>VLOOKUP(D70,ECF!$B$18:$C$25,2,0)</f>
        <v>0.96499999999999986</v>
      </c>
      <c r="M70">
        <f>VLOOKUP(D70,TFC!$B$22:$C$29,2,0)</f>
        <v>1.08</v>
      </c>
      <c r="N70">
        <f t="shared" si="9"/>
        <v>13.399714285714285</v>
      </c>
      <c r="O70" s="76">
        <f t="shared" si="10"/>
        <v>334.99285714285713</v>
      </c>
      <c r="P70" s="73">
        <f t="shared" si="11"/>
        <v>25124.464285714286</v>
      </c>
    </row>
    <row r="71" spans="1:16" x14ac:dyDescent="0.2">
      <c r="A71" s="30" t="s">
        <v>176</v>
      </c>
      <c r="B71" s="30" t="str">
        <f t="shared" si="6"/>
        <v>Poskytovanie a prevádzka Palubných jednotiekET-BO Proxy</v>
      </c>
      <c r="C71" s="30" t="s">
        <v>217</v>
      </c>
      <c r="D71" s="31" t="s">
        <v>199</v>
      </c>
      <c r="E71" s="32" t="s">
        <v>137</v>
      </c>
      <c r="F71" s="33" t="s">
        <v>110</v>
      </c>
      <c r="G71" s="30">
        <v>0</v>
      </c>
      <c r="H71">
        <f>VLOOKUP(E71,PIVOT!$B$4:$D$165,3,0)</f>
        <v>5</v>
      </c>
      <c r="I71">
        <f t="shared" si="7"/>
        <v>1</v>
      </c>
      <c r="J71">
        <f t="shared" si="8"/>
        <v>5</v>
      </c>
      <c r="K71" s="74">
        <f>VLOOKUP(B71,UAW!$D$13:$E$23,2,0)/COUNTIFS($A$3:$A$179,A71,$D$3:$D$179,D71)</f>
        <v>2.8571428571428572</v>
      </c>
      <c r="L71">
        <f>VLOOKUP(D71,ECF!$B$18:$C$25,2,0)</f>
        <v>0.96499999999999986</v>
      </c>
      <c r="M71">
        <f>VLOOKUP(D71,TFC!$B$22:$C$29,2,0)</f>
        <v>1.08</v>
      </c>
      <c r="N71">
        <f t="shared" si="9"/>
        <v>8.1887142857142852</v>
      </c>
      <c r="O71" s="76">
        <f t="shared" si="10"/>
        <v>204.71785714285713</v>
      </c>
      <c r="P71" s="73">
        <f t="shared" si="11"/>
        <v>15353.839285714284</v>
      </c>
    </row>
    <row r="72" spans="1:16" x14ac:dyDescent="0.2">
      <c r="A72" s="30" t="s">
        <v>176</v>
      </c>
      <c r="B72" s="30" t="str">
        <f t="shared" si="6"/>
        <v>Poskytovanie a prevádzka Palubných jednotiekET-BO Proxy</v>
      </c>
      <c r="C72" s="30" t="s">
        <v>217</v>
      </c>
      <c r="D72" s="31" t="s">
        <v>199</v>
      </c>
      <c r="E72" s="32" t="s">
        <v>127</v>
      </c>
      <c r="F72" s="33" t="s">
        <v>110</v>
      </c>
      <c r="G72" s="30">
        <v>0</v>
      </c>
      <c r="H72">
        <f>VLOOKUP(E72,PIVOT!$B$4:$D$165,3,0)</f>
        <v>10</v>
      </c>
      <c r="I72">
        <f t="shared" si="7"/>
        <v>1</v>
      </c>
      <c r="J72">
        <f t="shared" si="8"/>
        <v>10</v>
      </c>
      <c r="K72" s="74">
        <f>VLOOKUP(B72,UAW!$D$13:$E$23,2,0)/COUNTIFS($A$3:$A$179,A72,$D$3:$D$179,D72)</f>
        <v>2.8571428571428572</v>
      </c>
      <c r="L72">
        <f>VLOOKUP(D72,ECF!$B$18:$C$25,2,0)</f>
        <v>0.96499999999999986</v>
      </c>
      <c r="M72">
        <f>VLOOKUP(D72,TFC!$B$22:$C$29,2,0)</f>
        <v>1.08</v>
      </c>
      <c r="N72">
        <f t="shared" si="9"/>
        <v>13.399714285714285</v>
      </c>
      <c r="O72" s="76">
        <f t="shared" si="10"/>
        <v>334.99285714285713</v>
      </c>
      <c r="P72" s="73">
        <f t="shared" si="11"/>
        <v>25124.464285714286</v>
      </c>
    </row>
    <row r="73" spans="1:16" ht="25.5" x14ac:dyDescent="0.2">
      <c r="A73" s="30" t="s">
        <v>176</v>
      </c>
      <c r="B73" s="30" t="str">
        <f t="shared" si="6"/>
        <v>Poskytovanie a prevádzka Palubných jednotiekET-BO Proxy</v>
      </c>
      <c r="C73" s="30" t="s">
        <v>217</v>
      </c>
      <c r="D73" s="31" t="s">
        <v>199</v>
      </c>
      <c r="E73" s="32" t="s">
        <v>128</v>
      </c>
      <c r="F73" s="33" t="s">
        <v>110</v>
      </c>
      <c r="G73" s="30">
        <v>0</v>
      </c>
      <c r="H73">
        <f>VLOOKUP(E73,PIVOT!$B$4:$D$165,3,0)</f>
        <v>10</v>
      </c>
      <c r="I73">
        <f t="shared" si="7"/>
        <v>1</v>
      </c>
      <c r="J73">
        <f t="shared" si="8"/>
        <v>10</v>
      </c>
      <c r="K73" s="74">
        <f>VLOOKUP(B73,UAW!$D$13:$E$23,2,0)/COUNTIFS($A$3:$A$179,A73,$D$3:$D$179,D73)</f>
        <v>2.8571428571428572</v>
      </c>
      <c r="L73">
        <f>VLOOKUP(D73,ECF!$B$18:$C$25,2,0)</f>
        <v>0.96499999999999986</v>
      </c>
      <c r="M73">
        <f>VLOOKUP(D73,TFC!$B$22:$C$29,2,0)</f>
        <v>1.08</v>
      </c>
      <c r="N73">
        <f t="shared" si="9"/>
        <v>13.399714285714285</v>
      </c>
      <c r="O73" s="76">
        <f t="shared" si="10"/>
        <v>334.99285714285713</v>
      </c>
      <c r="P73" s="73">
        <f t="shared" si="11"/>
        <v>25124.464285714286</v>
      </c>
    </row>
    <row r="74" spans="1:16" x14ac:dyDescent="0.2">
      <c r="A74" s="30" t="s">
        <v>152</v>
      </c>
      <c r="B74" s="30" t="str">
        <f t="shared" si="6"/>
        <v>Agenda Správcu výberu mýtaET-BO</v>
      </c>
      <c r="C74" s="30" t="s">
        <v>175</v>
      </c>
      <c r="D74" s="31" t="s">
        <v>179</v>
      </c>
      <c r="E74" s="32" t="s">
        <v>141</v>
      </c>
      <c r="F74" s="33" t="s">
        <v>34</v>
      </c>
      <c r="G74" s="30">
        <v>0</v>
      </c>
      <c r="H74">
        <f>VLOOKUP(E74,PIVOT!$B$4:$D$165,3,0)</f>
        <v>10</v>
      </c>
      <c r="I74">
        <f t="shared" si="7"/>
        <v>1</v>
      </c>
      <c r="J74">
        <f t="shared" si="8"/>
        <v>10</v>
      </c>
      <c r="K74" s="74">
        <f>VLOOKUP(B74,UAW!$D$13:$E$23,2,0)/COUNTIFS($A$3:$A$179,A74,$D$3:$D$179,D74)</f>
        <v>1.8387096774193548</v>
      </c>
      <c r="L74">
        <f>VLOOKUP(D74,ECF!$B$18:$C$25,2,0)</f>
        <v>0.96499999999999986</v>
      </c>
      <c r="M74">
        <f>VLOOKUP(D74,TFC!$B$22:$C$29,2,0)</f>
        <v>1.08</v>
      </c>
      <c r="N74">
        <f t="shared" si="9"/>
        <v>12.338303225806451</v>
      </c>
      <c r="O74" s="76">
        <f t="shared" si="10"/>
        <v>308.45758064516127</v>
      </c>
      <c r="P74" s="73">
        <f t="shared" si="11"/>
        <v>23134.318548387095</v>
      </c>
    </row>
    <row r="75" spans="1:16" x14ac:dyDescent="0.2">
      <c r="A75" s="30" t="s">
        <v>152</v>
      </c>
      <c r="B75" s="30" t="str">
        <f t="shared" si="6"/>
        <v>Agenda Správcu výberu mýtaET-BO</v>
      </c>
      <c r="C75" s="30" t="s">
        <v>175</v>
      </c>
      <c r="D75" s="31" t="s">
        <v>179</v>
      </c>
      <c r="E75" s="32" t="s">
        <v>142</v>
      </c>
      <c r="F75" s="33" t="s">
        <v>34</v>
      </c>
      <c r="G75" s="30">
        <v>0</v>
      </c>
      <c r="H75">
        <f>VLOOKUP(E75,PIVOT!$B$4:$D$165,3,0)</f>
        <v>10</v>
      </c>
      <c r="I75">
        <f t="shared" si="7"/>
        <v>1</v>
      </c>
      <c r="J75">
        <f t="shared" si="8"/>
        <v>10</v>
      </c>
      <c r="K75" s="74">
        <f>VLOOKUP(B75,UAW!$D$13:$E$23,2,0)/COUNTIFS($A$3:$A$179,A75,$D$3:$D$179,D75)</f>
        <v>1.8387096774193548</v>
      </c>
      <c r="L75">
        <f>VLOOKUP(D75,ECF!$B$18:$C$25,2,0)</f>
        <v>0.96499999999999986</v>
      </c>
      <c r="M75">
        <f>VLOOKUP(D75,TFC!$B$22:$C$29,2,0)</f>
        <v>1.08</v>
      </c>
      <c r="N75">
        <f t="shared" si="9"/>
        <v>12.338303225806451</v>
      </c>
      <c r="O75" s="76">
        <f t="shared" si="10"/>
        <v>308.45758064516127</v>
      </c>
      <c r="P75" s="73">
        <f t="shared" si="11"/>
        <v>23134.318548387095</v>
      </c>
    </row>
    <row r="76" spans="1:16" x14ac:dyDescent="0.2">
      <c r="A76" s="30" t="s">
        <v>152</v>
      </c>
      <c r="B76" s="30" t="str">
        <f t="shared" si="6"/>
        <v>Agenda Správcu výberu mýtaET-BO</v>
      </c>
      <c r="C76" s="30" t="s">
        <v>175</v>
      </c>
      <c r="D76" s="31" t="s">
        <v>179</v>
      </c>
      <c r="E76" s="32" t="s">
        <v>59</v>
      </c>
      <c r="F76" s="33" t="s">
        <v>34</v>
      </c>
      <c r="G76" s="30">
        <v>0</v>
      </c>
      <c r="H76">
        <f>VLOOKUP(E76,PIVOT!$B$4:$D$165,3,0)</f>
        <v>5</v>
      </c>
      <c r="I76">
        <f t="shared" si="7"/>
        <v>1</v>
      </c>
      <c r="J76">
        <f t="shared" si="8"/>
        <v>5</v>
      </c>
      <c r="K76" s="74">
        <f>VLOOKUP(B76,UAW!$D$13:$E$23,2,0)/COUNTIFS($A$3:$A$179,A76,$D$3:$D$179,D76)</f>
        <v>1.8387096774193548</v>
      </c>
      <c r="L76">
        <f>VLOOKUP(D76,ECF!$B$18:$C$25,2,0)</f>
        <v>0.96499999999999986</v>
      </c>
      <c r="M76">
        <f>VLOOKUP(D76,TFC!$B$22:$C$29,2,0)</f>
        <v>1.08</v>
      </c>
      <c r="N76">
        <f t="shared" si="9"/>
        <v>7.1273032258064513</v>
      </c>
      <c r="O76" s="76">
        <f t="shared" si="10"/>
        <v>178.18258064516129</v>
      </c>
      <c r="P76" s="73">
        <f t="shared" si="11"/>
        <v>13363.693548387097</v>
      </c>
    </row>
    <row r="77" spans="1:16" x14ac:dyDescent="0.2">
      <c r="A77" s="30" t="s">
        <v>152</v>
      </c>
      <c r="B77" s="30" t="str">
        <f t="shared" si="6"/>
        <v>Agenda Správcu výberu mýtaET-BO</v>
      </c>
      <c r="C77" s="30" t="s">
        <v>175</v>
      </c>
      <c r="D77" s="31" t="s">
        <v>179</v>
      </c>
      <c r="E77" s="32" t="s">
        <v>60</v>
      </c>
      <c r="F77" s="33" t="s">
        <v>34</v>
      </c>
      <c r="G77" s="30">
        <v>0</v>
      </c>
      <c r="H77">
        <f>VLOOKUP(E77,PIVOT!$B$4:$D$165,3,0)</f>
        <v>15</v>
      </c>
      <c r="I77">
        <f t="shared" si="7"/>
        <v>1</v>
      </c>
      <c r="J77">
        <f t="shared" si="8"/>
        <v>15</v>
      </c>
      <c r="K77" s="74">
        <f>VLOOKUP(B77,UAW!$D$13:$E$23,2,0)/COUNTIFS($A$3:$A$179,A77,$D$3:$D$179,D77)</f>
        <v>1.8387096774193548</v>
      </c>
      <c r="L77">
        <f>VLOOKUP(D77,ECF!$B$18:$C$25,2,0)</f>
        <v>0.96499999999999986</v>
      </c>
      <c r="M77">
        <f>VLOOKUP(D77,TFC!$B$22:$C$29,2,0)</f>
        <v>1.08</v>
      </c>
      <c r="N77">
        <f t="shared" si="9"/>
        <v>17.549303225806451</v>
      </c>
      <c r="O77" s="76">
        <f t="shared" si="10"/>
        <v>438.73258064516125</v>
      </c>
      <c r="P77" s="73">
        <f t="shared" si="11"/>
        <v>32904.943548387091</v>
      </c>
    </row>
    <row r="78" spans="1:16" ht="25.5" x14ac:dyDescent="0.2">
      <c r="A78" s="30" t="s">
        <v>152</v>
      </c>
      <c r="B78" s="30" t="str">
        <f t="shared" si="6"/>
        <v>Agenda Správcu výberu mýtaET-BO</v>
      </c>
      <c r="C78" s="30" t="s">
        <v>175</v>
      </c>
      <c r="D78" s="31" t="s">
        <v>179</v>
      </c>
      <c r="E78" s="32" t="s">
        <v>63</v>
      </c>
      <c r="F78" s="33" t="s">
        <v>34</v>
      </c>
      <c r="G78" s="30">
        <v>0</v>
      </c>
      <c r="H78">
        <f>VLOOKUP(E78,PIVOT!$B$4:$D$165,3,0)</f>
        <v>5</v>
      </c>
      <c r="I78">
        <f t="shared" si="7"/>
        <v>1</v>
      </c>
      <c r="J78">
        <f t="shared" si="8"/>
        <v>5</v>
      </c>
      <c r="K78" s="74">
        <f>VLOOKUP(B78,UAW!$D$13:$E$23,2,0)/COUNTIFS($A$3:$A$179,A78,$D$3:$D$179,D78)</f>
        <v>1.8387096774193548</v>
      </c>
      <c r="L78">
        <f>VLOOKUP(D78,ECF!$B$18:$C$25,2,0)</f>
        <v>0.96499999999999986</v>
      </c>
      <c r="M78">
        <f>VLOOKUP(D78,TFC!$B$22:$C$29,2,0)</f>
        <v>1.08</v>
      </c>
      <c r="N78">
        <f t="shared" si="9"/>
        <v>7.1273032258064513</v>
      </c>
      <c r="O78" s="76">
        <f t="shared" si="10"/>
        <v>178.18258064516129</v>
      </c>
      <c r="P78" s="73">
        <f t="shared" si="11"/>
        <v>13363.693548387097</v>
      </c>
    </row>
    <row r="79" spans="1:16" x14ac:dyDescent="0.2">
      <c r="A79" s="30" t="s">
        <v>152</v>
      </c>
      <c r="B79" s="30" t="str">
        <f t="shared" si="6"/>
        <v>Agenda Správcu výberu mýtaET-BO</v>
      </c>
      <c r="C79" s="30" t="s">
        <v>175</v>
      </c>
      <c r="D79" s="31" t="s">
        <v>179</v>
      </c>
      <c r="E79" s="32" t="s">
        <v>102</v>
      </c>
      <c r="F79" s="33" t="s">
        <v>34</v>
      </c>
      <c r="G79" s="30">
        <v>0</v>
      </c>
      <c r="H79">
        <f>VLOOKUP(E79,PIVOT!$B$4:$D$165,3,0)</f>
        <v>5</v>
      </c>
      <c r="I79">
        <f t="shared" si="7"/>
        <v>1</v>
      </c>
      <c r="J79">
        <f t="shared" si="8"/>
        <v>5</v>
      </c>
      <c r="K79" s="74">
        <f>VLOOKUP(B79,UAW!$D$13:$E$23,2,0)/COUNTIFS($A$3:$A$179,A79,$D$3:$D$179,D79)</f>
        <v>1.8387096774193548</v>
      </c>
      <c r="L79">
        <f>VLOOKUP(D79,ECF!$B$18:$C$25,2,0)</f>
        <v>0.96499999999999986</v>
      </c>
      <c r="M79">
        <f>VLOOKUP(D79,TFC!$B$22:$C$29,2,0)</f>
        <v>1.08</v>
      </c>
      <c r="N79">
        <f t="shared" si="9"/>
        <v>7.1273032258064513</v>
      </c>
      <c r="O79" s="76">
        <f t="shared" si="10"/>
        <v>178.18258064516129</v>
      </c>
      <c r="P79" s="73">
        <f t="shared" si="11"/>
        <v>13363.693548387097</v>
      </c>
    </row>
    <row r="80" spans="1:16" x14ac:dyDescent="0.2">
      <c r="A80" s="30" t="s">
        <v>152</v>
      </c>
      <c r="B80" s="30" t="str">
        <f t="shared" si="6"/>
        <v>Agenda Správcu výberu mýtaET-BO</v>
      </c>
      <c r="C80" s="30" t="s">
        <v>175</v>
      </c>
      <c r="D80" s="31" t="s">
        <v>179</v>
      </c>
      <c r="E80" s="32" t="s">
        <v>103</v>
      </c>
      <c r="F80" s="33" t="s">
        <v>34</v>
      </c>
      <c r="G80" s="30">
        <v>0</v>
      </c>
      <c r="H80">
        <f>VLOOKUP(E80,PIVOT!$B$4:$D$165,3,0)</f>
        <v>15</v>
      </c>
      <c r="I80">
        <f t="shared" si="7"/>
        <v>1</v>
      </c>
      <c r="J80">
        <f t="shared" si="8"/>
        <v>15</v>
      </c>
      <c r="K80" s="74">
        <f>VLOOKUP(B80,UAW!$D$13:$E$23,2,0)/COUNTIFS($A$3:$A$179,A80,$D$3:$D$179,D80)</f>
        <v>1.8387096774193548</v>
      </c>
      <c r="L80">
        <f>VLOOKUP(D80,ECF!$B$18:$C$25,2,0)</f>
        <v>0.96499999999999986</v>
      </c>
      <c r="M80">
        <f>VLOOKUP(D80,TFC!$B$22:$C$29,2,0)</f>
        <v>1.08</v>
      </c>
      <c r="N80">
        <f t="shared" si="9"/>
        <v>17.549303225806451</v>
      </c>
      <c r="O80" s="76">
        <f t="shared" si="10"/>
        <v>438.73258064516125</v>
      </c>
      <c r="P80" s="73">
        <f t="shared" si="11"/>
        <v>32904.943548387091</v>
      </c>
    </row>
    <row r="81" spans="1:16" x14ac:dyDescent="0.2">
      <c r="A81" s="30" t="s">
        <v>152</v>
      </c>
      <c r="B81" s="30" t="str">
        <f t="shared" si="6"/>
        <v>Agenda Správcu výberu mýtaET-BO</v>
      </c>
      <c r="C81" s="30" t="s">
        <v>175</v>
      </c>
      <c r="D81" s="31" t="s">
        <v>179</v>
      </c>
      <c r="E81" s="32" t="s">
        <v>104</v>
      </c>
      <c r="F81" s="33" t="s">
        <v>34</v>
      </c>
      <c r="G81" s="30">
        <v>4</v>
      </c>
      <c r="H81">
        <f>VLOOKUP(E81,PIVOT!$B$4:$D$165,3,0)</f>
        <v>10</v>
      </c>
      <c r="I81">
        <f t="shared" si="7"/>
        <v>4</v>
      </c>
      <c r="J81">
        <f t="shared" si="8"/>
        <v>40</v>
      </c>
      <c r="K81" s="74">
        <f>VLOOKUP(B81,UAW!$D$13:$E$23,2,0)/COUNTIFS($A$3:$A$179,A81,$D$3:$D$179,D81)</f>
        <v>1.8387096774193548</v>
      </c>
      <c r="L81">
        <f>VLOOKUP(D81,ECF!$B$18:$C$25,2,0)</f>
        <v>0.96499999999999986</v>
      </c>
      <c r="M81">
        <f>VLOOKUP(D81,TFC!$B$22:$C$29,2,0)</f>
        <v>1.08</v>
      </c>
      <c r="N81">
        <f t="shared" si="9"/>
        <v>43.604303225806447</v>
      </c>
      <c r="O81" s="76">
        <f t="shared" si="10"/>
        <v>1090.1075806451611</v>
      </c>
      <c r="P81" s="73">
        <f t="shared" si="11"/>
        <v>81758.068548387077</v>
      </c>
    </row>
    <row r="82" spans="1:16" x14ac:dyDescent="0.2">
      <c r="A82" s="30" t="s">
        <v>152</v>
      </c>
      <c r="B82" s="30" t="str">
        <f t="shared" si="6"/>
        <v>Agenda Správcu výberu mýtaET-BO</v>
      </c>
      <c r="C82" s="30" t="s">
        <v>175</v>
      </c>
      <c r="D82" s="31" t="s">
        <v>179</v>
      </c>
      <c r="E82" s="32" t="s">
        <v>57</v>
      </c>
      <c r="F82" s="33" t="s">
        <v>34</v>
      </c>
      <c r="G82" s="30">
        <v>0</v>
      </c>
      <c r="H82">
        <f>VLOOKUP(E82,PIVOT!$B$4:$D$165,3,0)</f>
        <v>15</v>
      </c>
      <c r="I82">
        <f t="shared" si="7"/>
        <v>1</v>
      </c>
      <c r="J82">
        <f t="shared" si="8"/>
        <v>15</v>
      </c>
      <c r="K82" s="74">
        <f>VLOOKUP(B82,UAW!$D$13:$E$23,2,0)/COUNTIFS($A$3:$A$179,A82,$D$3:$D$179,D82)</f>
        <v>1.8387096774193548</v>
      </c>
      <c r="L82">
        <f>VLOOKUP(D82,ECF!$B$18:$C$25,2,0)</f>
        <v>0.96499999999999986</v>
      </c>
      <c r="M82">
        <f>VLOOKUP(D82,TFC!$B$22:$C$29,2,0)</f>
        <v>1.08</v>
      </c>
      <c r="N82">
        <f t="shared" si="9"/>
        <v>17.549303225806451</v>
      </c>
      <c r="O82" s="76">
        <f t="shared" si="10"/>
        <v>438.73258064516125</v>
      </c>
      <c r="P82" s="73">
        <f t="shared" si="11"/>
        <v>32904.943548387091</v>
      </c>
    </row>
    <row r="83" spans="1:16" x14ac:dyDescent="0.2">
      <c r="A83" s="30" t="s">
        <v>152</v>
      </c>
      <c r="B83" s="30" t="str">
        <f t="shared" si="6"/>
        <v>Agenda Správcu výberu mýtaET-BO</v>
      </c>
      <c r="C83" s="30" t="s">
        <v>175</v>
      </c>
      <c r="D83" s="31" t="s">
        <v>179</v>
      </c>
      <c r="E83" s="32" t="s">
        <v>61</v>
      </c>
      <c r="F83" s="33" t="s">
        <v>34</v>
      </c>
      <c r="G83" s="30">
        <v>0</v>
      </c>
      <c r="H83">
        <f>VLOOKUP(E83,PIVOT!$B$4:$D$165,3,0)</f>
        <v>15</v>
      </c>
      <c r="I83">
        <f t="shared" si="7"/>
        <v>1</v>
      </c>
      <c r="J83">
        <f t="shared" si="8"/>
        <v>15</v>
      </c>
      <c r="K83" s="74">
        <f>VLOOKUP(B83,UAW!$D$13:$E$23,2,0)/COUNTIFS($A$3:$A$179,A83,$D$3:$D$179,D83)</f>
        <v>1.8387096774193548</v>
      </c>
      <c r="L83">
        <f>VLOOKUP(D83,ECF!$B$18:$C$25,2,0)</f>
        <v>0.96499999999999986</v>
      </c>
      <c r="M83">
        <f>VLOOKUP(D83,TFC!$B$22:$C$29,2,0)</f>
        <v>1.08</v>
      </c>
      <c r="N83">
        <f t="shared" si="9"/>
        <v>17.549303225806451</v>
      </c>
      <c r="O83" s="76">
        <f t="shared" si="10"/>
        <v>438.73258064516125</v>
      </c>
      <c r="P83" s="73">
        <f t="shared" si="11"/>
        <v>32904.943548387091</v>
      </c>
    </row>
    <row r="84" spans="1:16" x14ac:dyDescent="0.2">
      <c r="A84" s="30" t="s">
        <v>152</v>
      </c>
      <c r="B84" s="30" t="str">
        <f t="shared" si="6"/>
        <v>Agenda Správcu výberu mýtaET-BO</v>
      </c>
      <c r="C84" s="30" t="s">
        <v>175</v>
      </c>
      <c r="D84" s="31" t="s">
        <v>179</v>
      </c>
      <c r="E84" s="32" t="s">
        <v>172</v>
      </c>
      <c r="F84" s="33" t="s">
        <v>34</v>
      </c>
      <c r="G84" s="30">
        <v>0</v>
      </c>
      <c r="H84">
        <f>VLOOKUP(E84,PIVOT!$B$4:$D$165,3,0)</f>
        <v>15</v>
      </c>
      <c r="I84">
        <f t="shared" si="7"/>
        <v>1</v>
      </c>
      <c r="J84">
        <f t="shared" si="8"/>
        <v>15</v>
      </c>
      <c r="K84" s="74">
        <f>VLOOKUP(B84,UAW!$D$13:$E$23,2,0)/COUNTIFS($A$3:$A$179,A84,$D$3:$D$179,D84)</f>
        <v>1.8387096774193548</v>
      </c>
      <c r="L84">
        <f>VLOOKUP(D84,ECF!$B$18:$C$25,2,0)</f>
        <v>0.96499999999999986</v>
      </c>
      <c r="M84">
        <f>VLOOKUP(D84,TFC!$B$22:$C$29,2,0)</f>
        <v>1.08</v>
      </c>
      <c r="N84">
        <f t="shared" si="9"/>
        <v>17.549303225806451</v>
      </c>
      <c r="O84" s="76">
        <f t="shared" si="10"/>
        <v>438.73258064516125</v>
      </c>
      <c r="P84" s="73">
        <f t="shared" si="11"/>
        <v>32904.943548387091</v>
      </c>
    </row>
    <row r="85" spans="1:16" x14ac:dyDescent="0.2">
      <c r="A85" s="30" t="s">
        <v>152</v>
      </c>
      <c r="B85" s="30" t="str">
        <f t="shared" si="6"/>
        <v>Agenda Správcu výberu mýtaET-BO</v>
      </c>
      <c r="C85" s="30" t="s">
        <v>175</v>
      </c>
      <c r="D85" s="31" t="s">
        <v>179</v>
      </c>
      <c r="E85" s="32" t="s">
        <v>58</v>
      </c>
      <c r="F85" s="33" t="s">
        <v>34</v>
      </c>
      <c r="G85" s="30">
        <v>0</v>
      </c>
      <c r="H85">
        <f>VLOOKUP(E85,PIVOT!$B$4:$D$165,3,0)</f>
        <v>15</v>
      </c>
      <c r="I85">
        <f t="shared" si="7"/>
        <v>1</v>
      </c>
      <c r="J85">
        <f t="shared" si="8"/>
        <v>15</v>
      </c>
      <c r="K85" s="74">
        <f>VLOOKUP(B85,UAW!$D$13:$E$23,2,0)/COUNTIFS($A$3:$A$179,A85,$D$3:$D$179,D85)</f>
        <v>1.8387096774193548</v>
      </c>
      <c r="L85">
        <f>VLOOKUP(D85,ECF!$B$18:$C$25,2,0)</f>
        <v>0.96499999999999986</v>
      </c>
      <c r="M85">
        <f>VLOOKUP(D85,TFC!$B$22:$C$29,2,0)</f>
        <v>1.08</v>
      </c>
      <c r="N85">
        <f t="shared" si="9"/>
        <v>17.549303225806451</v>
      </c>
      <c r="O85" s="76">
        <f t="shared" si="10"/>
        <v>438.73258064516125</v>
      </c>
      <c r="P85" s="73">
        <f t="shared" si="11"/>
        <v>32904.943548387091</v>
      </c>
    </row>
    <row r="86" spans="1:16" x14ac:dyDescent="0.2">
      <c r="A86" s="30" t="s">
        <v>152</v>
      </c>
      <c r="B86" s="30" t="str">
        <f t="shared" si="6"/>
        <v>Agenda Správcu výberu mýtaET-BO</v>
      </c>
      <c r="C86" s="30" t="s">
        <v>175</v>
      </c>
      <c r="D86" s="31" t="s">
        <v>179</v>
      </c>
      <c r="E86" s="32" t="s">
        <v>68</v>
      </c>
      <c r="F86" s="33" t="s">
        <v>34</v>
      </c>
      <c r="G86" s="30">
        <v>0</v>
      </c>
      <c r="H86">
        <f>VLOOKUP(E86,PIVOT!$B$4:$D$165,3,0)</f>
        <v>15</v>
      </c>
      <c r="I86">
        <f t="shared" si="7"/>
        <v>1</v>
      </c>
      <c r="J86">
        <f t="shared" si="8"/>
        <v>15</v>
      </c>
      <c r="K86" s="74">
        <f>VLOOKUP(B86,UAW!$D$13:$E$23,2,0)/COUNTIFS($A$3:$A$179,A86,$D$3:$D$179,D86)</f>
        <v>1.8387096774193548</v>
      </c>
      <c r="L86">
        <f>VLOOKUP(D86,ECF!$B$18:$C$25,2,0)</f>
        <v>0.96499999999999986</v>
      </c>
      <c r="M86">
        <f>VLOOKUP(D86,TFC!$B$22:$C$29,2,0)</f>
        <v>1.08</v>
      </c>
      <c r="N86">
        <f t="shared" si="9"/>
        <v>17.549303225806451</v>
      </c>
      <c r="O86" s="76">
        <f t="shared" si="10"/>
        <v>438.73258064516125</v>
      </c>
      <c r="P86" s="73">
        <f t="shared" si="11"/>
        <v>32904.943548387091</v>
      </c>
    </row>
    <row r="87" spans="1:16" x14ac:dyDescent="0.2">
      <c r="A87" s="30" t="s">
        <v>152</v>
      </c>
      <c r="B87" s="30" t="str">
        <f t="shared" si="6"/>
        <v>Agenda Správcu výberu mýtaET-BO</v>
      </c>
      <c r="C87" s="30" t="s">
        <v>175</v>
      </c>
      <c r="D87" s="31" t="s">
        <v>179</v>
      </c>
      <c r="E87" s="32" t="s">
        <v>101</v>
      </c>
      <c r="F87" s="33" t="s">
        <v>34</v>
      </c>
      <c r="G87" s="30">
        <v>0</v>
      </c>
      <c r="H87">
        <f>VLOOKUP(E87,PIVOT!$B$4:$D$165,3,0)</f>
        <v>10</v>
      </c>
      <c r="I87">
        <f t="shared" si="7"/>
        <v>1</v>
      </c>
      <c r="J87">
        <f t="shared" si="8"/>
        <v>10</v>
      </c>
      <c r="K87" s="74">
        <f>VLOOKUP(B87,UAW!$D$13:$E$23,2,0)/COUNTIFS($A$3:$A$179,A87,$D$3:$D$179,D87)</f>
        <v>1.8387096774193548</v>
      </c>
      <c r="L87">
        <f>VLOOKUP(D87,ECF!$B$18:$C$25,2,0)</f>
        <v>0.96499999999999986</v>
      </c>
      <c r="M87">
        <f>VLOOKUP(D87,TFC!$B$22:$C$29,2,0)</f>
        <v>1.08</v>
      </c>
      <c r="N87">
        <f t="shared" si="9"/>
        <v>12.338303225806451</v>
      </c>
      <c r="O87" s="76">
        <f t="shared" si="10"/>
        <v>308.45758064516127</v>
      </c>
      <c r="P87" s="73">
        <f t="shared" si="11"/>
        <v>23134.318548387095</v>
      </c>
    </row>
    <row r="88" spans="1:16" ht="25.5" x14ac:dyDescent="0.2">
      <c r="A88" s="30" t="s">
        <v>152</v>
      </c>
      <c r="B88" s="30" t="str">
        <f t="shared" si="6"/>
        <v>Agenda Správcu výberu mýtaET-BO</v>
      </c>
      <c r="C88" s="30" t="s">
        <v>175</v>
      </c>
      <c r="D88" s="31" t="s">
        <v>179</v>
      </c>
      <c r="E88" s="32" t="s">
        <v>64</v>
      </c>
      <c r="F88" s="33" t="s">
        <v>34</v>
      </c>
      <c r="G88" s="30">
        <v>0</v>
      </c>
      <c r="H88">
        <f>VLOOKUP(E88,PIVOT!$B$4:$D$165,3,0)</f>
        <v>10</v>
      </c>
      <c r="I88">
        <f t="shared" si="7"/>
        <v>1</v>
      </c>
      <c r="J88">
        <f t="shared" si="8"/>
        <v>10</v>
      </c>
      <c r="K88" s="74">
        <f>VLOOKUP(B88,UAW!$D$13:$E$23,2,0)/COUNTIFS($A$3:$A$179,A88,$D$3:$D$179,D88)</f>
        <v>1.8387096774193548</v>
      </c>
      <c r="L88">
        <f>VLOOKUP(D88,ECF!$B$18:$C$25,2,0)</f>
        <v>0.96499999999999986</v>
      </c>
      <c r="M88">
        <f>VLOOKUP(D88,TFC!$B$22:$C$29,2,0)</f>
        <v>1.08</v>
      </c>
      <c r="N88">
        <f t="shared" si="9"/>
        <v>12.338303225806451</v>
      </c>
      <c r="O88" s="76">
        <f t="shared" si="10"/>
        <v>308.45758064516127</v>
      </c>
      <c r="P88" s="73">
        <f t="shared" si="11"/>
        <v>23134.318548387095</v>
      </c>
    </row>
    <row r="89" spans="1:16" x14ac:dyDescent="0.2">
      <c r="A89" s="30" t="s">
        <v>152</v>
      </c>
      <c r="B89" s="30" t="str">
        <f t="shared" si="6"/>
        <v>Agenda Správcu výberu mýtaET-BO</v>
      </c>
      <c r="C89" s="30" t="s">
        <v>175</v>
      </c>
      <c r="D89" s="31" t="s">
        <v>179</v>
      </c>
      <c r="E89" s="32" t="s">
        <v>66</v>
      </c>
      <c r="F89" s="33" t="s">
        <v>34</v>
      </c>
      <c r="G89" s="30">
        <v>4</v>
      </c>
      <c r="H89">
        <f>VLOOKUP(E89,PIVOT!$B$4:$D$165,3,0)</f>
        <v>10</v>
      </c>
      <c r="I89">
        <f t="shared" si="7"/>
        <v>4</v>
      </c>
      <c r="J89">
        <f t="shared" si="8"/>
        <v>40</v>
      </c>
      <c r="K89" s="74">
        <f>VLOOKUP(B89,UAW!$D$13:$E$23,2,0)/COUNTIFS($A$3:$A$179,A89,$D$3:$D$179,D89)</f>
        <v>1.8387096774193548</v>
      </c>
      <c r="L89">
        <f>VLOOKUP(D89,ECF!$B$18:$C$25,2,0)</f>
        <v>0.96499999999999986</v>
      </c>
      <c r="M89">
        <f>VLOOKUP(D89,TFC!$B$22:$C$29,2,0)</f>
        <v>1.08</v>
      </c>
      <c r="N89">
        <f t="shared" si="9"/>
        <v>43.604303225806447</v>
      </c>
      <c r="O89" s="76">
        <f t="shared" si="10"/>
        <v>1090.1075806451611</v>
      </c>
      <c r="P89" s="73">
        <f t="shared" si="11"/>
        <v>81758.068548387077</v>
      </c>
    </row>
    <row r="90" spans="1:16" ht="25.5" x14ac:dyDescent="0.2">
      <c r="A90" s="30" t="s">
        <v>152</v>
      </c>
      <c r="B90" s="30" t="str">
        <f t="shared" si="6"/>
        <v>Agenda Správcu výberu mýtaET-BO</v>
      </c>
      <c r="C90" s="30" t="s">
        <v>175</v>
      </c>
      <c r="D90" s="31" t="s">
        <v>179</v>
      </c>
      <c r="E90" s="32" t="s">
        <v>71</v>
      </c>
      <c r="F90" s="33" t="s">
        <v>34</v>
      </c>
      <c r="G90" s="30">
        <v>0</v>
      </c>
      <c r="H90">
        <f>VLOOKUP(E90,PIVOT!$B$4:$D$165,3,0)</f>
        <v>15</v>
      </c>
      <c r="I90">
        <f t="shared" si="7"/>
        <v>1</v>
      </c>
      <c r="J90">
        <f t="shared" si="8"/>
        <v>15</v>
      </c>
      <c r="K90" s="74">
        <f>VLOOKUP(B90,UAW!$D$13:$E$23,2,0)/COUNTIFS($A$3:$A$179,A90,$D$3:$D$179,D90)</f>
        <v>1.8387096774193548</v>
      </c>
      <c r="L90">
        <f>VLOOKUP(D90,ECF!$B$18:$C$25,2,0)</f>
        <v>0.96499999999999986</v>
      </c>
      <c r="M90">
        <f>VLOOKUP(D90,TFC!$B$22:$C$29,2,0)</f>
        <v>1.08</v>
      </c>
      <c r="N90">
        <f t="shared" si="9"/>
        <v>17.549303225806451</v>
      </c>
      <c r="O90" s="76">
        <f t="shared" si="10"/>
        <v>438.73258064516125</v>
      </c>
      <c r="P90" s="73">
        <f t="shared" si="11"/>
        <v>32904.943548387091</v>
      </c>
    </row>
    <row r="91" spans="1:16" ht="25.5" x14ac:dyDescent="0.2">
      <c r="A91" s="30" t="s">
        <v>152</v>
      </c>
      <c r="B91" s="30" t="str">
        <f t="shared" si="6"/>
        <v>Agenda Správcu výberu mýtaET-BO</v>
      </c>
      <c r="C91" s="30" t="s">
        <v>175</v>
      </c>
      <c r="D91" s="31" t="s">
        <v>179</v>
      </c>
      <c r="E91" s="32" t="s">
        <v>70</v>
      </c>
      <c r="F91" s="33" t="s">
        <v>34</v>
      </c>
      <c r="G91" s="30">
        <v>0</v>
      </c>
      <c r="H91">
        <f>VLOOKUP(E91,PIVOT!$B$4:$D$165,3,0)</f>
        <v>15</v>
      </c>
      <c r="I91">
        <f t="shared" si="7"/>
        <v>1</v>
      </c>
      <c r="J91">
        <f t="shared" si="8"/>
        <v>15</v>
      </c>
      <c r="K91" s="74">
        <f>VLOOKUP(B91,UAW!$D$13:$E$23,2,0)/COUNTIFS($A$3:$A$179,A91,$D$3:$D$179,D91)</f>
        <v>1.8387096774193548</v>
      </c>
      <c r="L91">
        <f>VLOOKUP(D91,ECF!$B$18:$C$25,2,0)</f>
        <v>0.96499999999999986</v>
      </c>
      <c r="M91">
        <f>VLOOKUP(D91,TFC!$B$22:$C$29,2,0)</f>
        <v>1.08</v>
      </c>
      <c r="N91">
        <f t="shared" si="9"/>
        <v>17.549303225806451</v>
      </c>
      <c r="O91" s="76">
        <f t="shared" si="10"/>
        <v>438.73258064516125</v>
      </c>
      <c r="P91" s="73">
        <f t="shared" si="11"/>
        <v>32904.943548387091</v>
      </c>
    </row>
    <row r="92" spans="1:16" x14ac:dyDescent="0.2">
      <c r="A92" s="30" t="s">
        <v>152</v>
      </c>
      <c r="B92" s="30" t="str">
        <f t="shared" si="6"/>
        <v>Agenda Správcu výberu mýtaET-BO</v>
      </c>
      <c r="C92" s="30" t="s">
        <v>175</v>
      </c>
      <c r="D92" s="31" t="s">
        <v>179</v>
      </c>
      <c r="E92" s="32" t="s">
        <v>74</v>
      </c>
      <c r="F92" s="33" t="s">
        <v>34</v>
      </c>
      <c r="G92" s="30">
        <v>0</v>
      </c>
      <c r="H92">
        <f>VLOOKUP(E92,PIVOT!$B$4:$D$165,3,0)</f>
        <v>5</v>
      </c>
      <c r="I92">
        <f t="shared" si="7"/>
        <v>1</v>
      </c>
      <c r="J92">
        <f t="shared" si="8"/>
        <v>5</v>
      </c>
      <c r="K92" s="74">
        <f>VLOOKUP(B92,UAW!$D$13:$E$23,2,0)/COUNTIFS($A$3:$A$179,A92,$D$3:$D$179,D92)</f>
        <v>1.8387096774193548</v>
      </c>
      <c r="L92">
        <f>VLOOKUP(D92,ECF!$B$18:$C$25,2,0)</f>
        <v>0.96499999999999986</v>
      </c>
      <c r="M92">
        <f>VLOOKUP(D92,TFC!$B$22:$C$29,2,0)</f>
        <v>1.08</v>
      </c>
      <c r="N92">
        <f t="shared" si="9"/>
        <v>7.1273032258064513</v>
      </c>
      <c r="O92" s="76">
        <f t="shared" si="10"/>
        <v>178.18258064516129</v>
      </c>
      <c r="P92" s="73">
        <f t="shared" si="11"/>
        <v>13363.693548387097</v>
      </c>
    </row>
    <row r="93" spans="1:16" ht="25.5" x14ac:dyDescent="0.2">
      <c r="A93" s="30" t="s">
        <v>152</v>
      </c>
      <c r="B93" s="30" t="str">
        <f t="shared" si="6"/>
        <v>Agenda Správcu výberu mýtaET-BO</v>
      </c>
      <c r="C93" s="30" t="s">
        <v>175</v>
      </c>
      <c r="D93" s="31" t="s">
        <v>179</v>
      </c>
      <c r="E93" s="32" t="s">
        <v>75</v>
      </c>
      <c r="F93" s="33" t="s">
        <v>34</v>
      </c>
      <c r="G93" s="30">
        <v>0</v>
      </c>
      <c r="H93">
        <f>VLOOKUP(E93,PIVOT!$B$4:$D$165,3,0)</f>
        <v>5</v>
      </c>
      <c r="I93">
        <f t="shared" si="7"/>
        <v>1</v>
      </c>
      <c r="J93">
        <f t="shared" si="8"/>
        <v>5</v>
      </c>
      <c r="K93" s="74">
        <f>VLOOKUP(B93,UAW!$D$13:$E$23,2,0)/COUNTIFS($A$3:$A$179,A93,$D$3:$D$179,D93)</f>
        <v>1.8387096774193548</v>
      </c>
      <c r="L93">
        <f>VLOOKUP(D93,ECF!$B$18:$C$25,2,0)</f>
        <v>0.96499999999999986</v>
      </c>
      <c r="M93">
        <f>VLOOKUP(D93,TFC!$B$22:$C$29,2,0)</f>
        <v>1.08</v>
      </c>
      <c r="N93">
        <f t="shared" si="9"/>
        <v>7.1273032258064513</v>
      </c>
      <c r="O93" s="76">
        <f t="shared" si="10"/>
        <v>178.18258064516129</v>
      </c>
      <c r="P93" s="73">
        <f t="shared" si="11"/>
        <v>13363.693548387097</v>
      </c>
    </row>
    <row r="94" spans="1:16" x14ac:dyDescent="0.2">
      <c r="A94" s="30" t="s">
        <v>152</v>
      </c>
      <c r="B94" s="30" t="str">
        <f t="shared" si="6"/>
        <v>Agenda Správcu výberu mýtaET-BO</v>
      </c>
      <c r="C94" s="30" t="s">
        <v>175</v>
      </c>
      <c r="D94" s="31" t="s">
        <v>179</v>
      </c>
      <c r="E94" s="32" t="s">
        <v>124</v>
      </c>
      <c r="F94" s="33" t="s">
        <v>34</v>
      </c>
      <c r="G94" s="30">
        <v>1</v>
      </c>
      <c r="H94">
        <f>VLOOKUP(E94,PIVOT!$B$4:$D$165,3,0)</f>
        <v>15</v>
      </c>
      <c r="I94">
        <f t="shared" si="7"/>
        <v>1</v>
      </c>
      <c r="J94">
        <f t="shared" si="8"/>
        <v>15</v>
      </c>
      <c r="K94" s="74">
        <f>VLOOKUP(B94,UAW!$D$13:$E$23,2,0)/COUNTIFS($A$3:$A$179,A94,$D$3:$D$179,D94)</f>
        <v>1.8387096774193548</v>
      </c>
      <c r="L94">
        <f>VLOOKUP(D94,ECF!$B$18:$C$25,2,0)</f>
        <v>0.96499999999999986</v>
      </c>
      <c r="M94">
        <f>VLOOKUP(D94,TFC!$B$22:$C$29,2,0)</f>
        <v>1.08</v>
      </c>
      <c r="N94">
        <f t="shared" si="9"/>
        <v>17.549303225806451</v>
      </c>
      <c r="O94" s="76">
        <f t="shared" si="10"/>
        <v>438.73258064516125</v>
      </c>
      <c r="P94" s="73">
        <f t="shared" si="11"/>
        <v>32904.943548387091</v>
      </c>
    </row>
    <row r="95" spans="1:16" x14ac:dyDescent="0.2">
      <c r="A95" s="30" t="s">
        <v>152</v>
      </c>
      <c r="B95" s="30" t="str">
        <f t="shared" si="6"/>
        <v>Agenda Správcu výberu mýtaET-BO</v>
      </c>
      <c r="C95" s="30" t="s">
        <v>175</v>
      </c>
      <c r="D95" s="31" t="s">
        <v>179</v>
      </c>
      <c r="E95" s="32" t="s">
        <v>90</v>
      </c>
      <c r="F95" s="33" t="s">
        <v>34</v>
      </c>
      <c r="G95" s="30">
        <v>0</v>
      </c>
      <c r="H95">
        <f>VLOOKUP(E95,PIVOT!$B$4:$D$165,3,0)</f>
        <v>10</v>
      </c>
      <c r="I95">
        <f t="shared" si="7"/>
        <v>1</v>
      </c>
      <c r="J95">
        <f t="shared" si="8"/>
        <v>10</v>
      </c>
      <c r="K95" s="74">
        <f>VLOOKUP(B95,UAW!$D$13:$E$23,2,0)/COUNTIFS($A$3:$A$179,A95,$D$3:$D$179,D95)</f>
        <v>1.8387096774193548</v>
      </c>
      <c r="L95">
        <f>VLOOKUP(D95,ECF!$B$18:$C$25,2,0)</f>
        <v>0.96499999999999986</v>
      </c>
      <c r="M95">
        <f>VLOOKUP(D95,TFC!$B$22:$C$29,2,0)</f>
        <v>1.08</v>
      </c>
      <c r="N95">
        <f t="shared" si="9"/>
        <v>12.338303225806451</v>
      </c>
      <c r="O95" s="76">
        <f t="shared" si="10"/>
        <v>308.45758064516127</v>
      </c>
      <c r="P95" s="73">
        <f t="shared" si="11"/>
        <v>23134.318548387095</v>
      </c>
    </row>
    <row r="96" spans="1:16" ht="25.5" x14ac:dyDescent="0.2">
      <c r="A96" s="30" t="s">
        <v>152</v>
      </c>
      <c r="B96" s="30" t="str">
        <f t="shared" si="6"/>
        <v>Agenda Správcu výberu mýtaET-BO</v>
      </c>
      <c r="C96" s="30" t="s">
        <v>175</v>
      </c>
      <c r="D96" s="31" t="s">
        <v>179</v>
      </c>
      <c r="E96" s="32" t="s">
        <v>98</v>
      </c>
      <c r="F96" s="33" t="s">
        <v>34</v>
      </c>
      <c r="G96" s="30">
        <v>0</v>
      </c>
      <c r="H96">
        <f>VLOOKUP(E96,PIVOT!$B$4:$D$165,3,0)</f>
        <v>15</v>
      </c>
      <c r="I96">
        <f t="shared" si="7"/>
        <v>1</v>
      </c>
      <c r="J96">
        <f t="shared" si="8"/>
        <v>15</v>
      </c>
      <c r="K96" s="74">
        <f>VLOOKUP(B96,UAW!$D$13:$E$23,2,0)/COUNTIFS($A$3:$A$179,A96,$D$3:$D$179,D96)</f>
        <v>1.8387096774193548</v>
      </c>
      <c r="L96">
        <f>VLOOKUP(D96,ECF!$B$18:$C$25,2,0)</f>
        <v>0.96499999999999986</v>
      </c>
      <c r="M96">
        <f>VLOOKUP(D96,TFC!$B$22:$C$29,2,0)</f>
        <v>1.08</v>
      </c>
      <c r="N96">
        <f t="shared" si="9"/>
        <v>17.549303225806451</v>
      </c>
      <c r="O96" s="76">
        <f t="shared" si="10"/>
        <v>438.73258064516125</v>
      </c>
      <c r="P96" s="73">
        <f t="shared" si="11"/>
        <v>32904.943548387091</v>
      </c>
    </row>
    <row r="97" spans="1:16" ht="25.5" x14ac:dyDescent="0.2">
      <c r="A97" s="30" t="s">
        <v>152</v>
      </c>
      <c r="B97" s="30" t="str">
        <f t="shared" si="6"/>
        <v>Agenda Správcu výberu mýtaET-BO</v>
      </c>
      <c r="C97" s="30" t="s">
        <v>175</v>
      </c>
      <c r="D97" s="31" t="s">
        <v>179</v>
      </c>
      <c r="E97" s="32" t="s">
        <v>79</v>
      </c>
      <c r="F97" s="33" t="s">
        <v>34</v>
      </c>
      <c r="G97" s="30">
        <v>0</v>
      </c>
      <c r="H97">
        <f>VLOOKUP(E97,PIVOT!$B$4:$D$165,3,0)</f>
        <v>10</v>
      </c>
      <c r="I97">
        <f t="shared" si="7"/>
        <v>1</v>
      </c>
      <c r="J97">
        <f t="shared" si="8"/>
        <v>10</v>
      </c>
      <c r="K97" s="74">
        <f>VLOOKUP(B97,UAW!$D$13:$E$23,2,0)/COUNTIFS($A$3:$A$179,A97,$D$3:$D$179,D97)</f>
        <v>1.8387096774193548</v>
      </c>
      <c r="L97">
        <f>VLOOKUP(D97,ECF!$B$18:$C$25,2,0)</f>
        <v>0.96499999999999986</v>
      </c>
      <c r="M97">
        <f>VLOOKUP(D97,TFC!$B$22:$C$29,2,0)</f>
        <v>1.08</v>
      </c>
      <c r="N97">
        <f t="shared" si="9"/>
        <v>12.338303225806451</v>
      </c>
      <c r="O97" s="76">
        <f t="shared" si="10"/>
        <v>308.45758064516127</v>
      </c>
      <c r="P97" s="73">
        <f t="shared" si="11"/>
        <v>23134.318548387095</v>
      </c>
    </row>
    <row r="98" spans="1:16" x14ac:dyDescent="0.2">
      <c r="A98" s="30" t="s">
        <v>152</v>
      </c>
      <c r="B98" s="30" t="str">
        <f t="shared" si="6"/>
        <v>Agenda Správcu výberu mýtaET-BO</v>
      </c>
      <c r="C98" s="30" t="s">
        <v>175</v>
      </c>
      <c r="D98" s="31" t="s">
        <v>179</v>
      </c>
      <c r="E98" s="32" t="s">
        <v>89</v>
      </c>
      <c r="F98" s="33" t="s">
        <v>34</v>
      </c>
      <c r="G98" s="30">
        <v>0</v>
      </c>
      <c r="H98">
        <f>VLOOKUP(E98,PIVOT!$B$4:$D$165,3,0)</f>
        <v>10</v>
      </c>
      <c r="I98">
        <f t="shared" si="7"/>
        <v>1</v>
      </c>
      <c r="J98">
        <f t="shared" si="8"/>
        <v>10</v>
      </c>
      <c r="K98" s="74">
        <f>VLOOKUP(B98,UAW!$D$13:$E$23,2,0)/COUNTIFS($A$3:$A$179,A98,$D$3:$D$179,D98)</f>
        <v>1.8387096774193548</v>
      </c>
      <c r="L98">
        <f>VLOOKUP(D98,ECF!$B$18:$C$25,2,0)</f>
        <v>0.96499999999999986</v>
      </c>
      <c r="M98">
        <f>VLOOKUP(D98,TFC!$B$22:$C$29,2,0)</f>
        <v>1.08</v>
      </c>
      <c r="N98">
        <f t="shared" si="9"/>
        <v>12.338303225806451</v>
      </c>
      <c r="O98" s="76">
        <f t="shared" si="10"/>
        <v>308.45758064516127</v>
      </c>
      <c r="P98" s="73">
        <f t="shared" si="11"/>
        <v>23134.318548387095</v>
      </c>
    </row>
    <row r="99" spans="1:16" x14ac:dyDescent="0.2">
      <c r="A99" s="30" t="s">
        <v>152</v>
      </c>
      <c r="B99" s="30" t="str">
        <f t="shared" si="6"/>
        <v>Agenda Správcu výberu mýtaET-BO</v>
      </c>
      <c r="C99" s="30" t="s">
        <v>175</v>
      </c>
      <c r="D99" s="31" t="s">
        <v>179</v>
      </c>
      <c r="E99" s="32" t="s">
        <v>82</v>
      </c>
      <c r="F99" s="33" t="s">
        <v>34</v>
      </c>
      <c r="G99" s="30">
        <v>0</v>
      </c>
      <c r="H99">
        <f>VLOOKUP(E99,PIVOT!$B$4:$D$165,3,0)</f>
        <v>10</v>
      </c>
      <c r="I99">
        <f t="shared" si="7"/>
        <v>1</v>
      </c>
      <c r="J99">
        <f t="shared" si="8"/>
        <v>10</v>
      </c>
      <c r="K99" s="74">
        <f>VLOOKUP(B99,UAW!$D$13:$E$23,2,0)/COUNTIFS($A$3:$A$179,A99,$D$3:$D$179,D99)</f>
        <v>1.8387096774193548</v>
      </c>
      <c r="L99">
        <f>VLOOKUP(D99,ECF!$B$18:$C$25,2,0)</f>
        <v>0.96499999999999986</v>
      </c>
      <c r="M99">
        <f>VLOOKUP(D99,TFC!$B$22:$C$29,2,0)</f>
        <v>1.08</v>
      </c>
      <c r="N99">
        <f t="shared" si="9"/>
        <v>12.338303225806451</v>
      </c>
      <c r="O99" s="76">
        <f t="shared" si="10"/>
        <v>308.45758064516127</v>
      </c>
      <c r="P99" s="73">
        <f t="shared" si="11"/>
        <v>23134.318548387095</v>
      </c>
    </row>
    <row r="100" spans="1:16" x14ac:dyDescent="0.2">
      <c r="A100" s="30" t="s">
        <v>152</v>
      </c>
      <c r="B100" s="30" t="str">
        <f t="shared" si="6"/>
        <v>Agenda Správcu výberu mýtaET-BO</v>
      </c>
      <c r="C100" s="30" t="s">
        <v>175</v>
      </c>
      <c r="D100" s="31" t="s">
        <v>179</v>
      </c>
      <c r="E100" s="32" t="s">
        <v>83</v>
      </c>
      <c r="F100" s="33" t="s">
        <v>34</v>
      </c>
      <c r="G100" s="30">
        <v>0</v>
      </c>
      <c r="H100">
        <f>VLOOKUP(E100,PIVOT!$B$4:$D$165,3,0)</f>
        <v>10</v>
      </c>
      <c r="I100">
        <f t="shared" si="7"/>
        <v>1</v>
      </c>
      <c r="J100">
        <f t="shared" si="8"/>
        <v>10</v>
      </c>
      <c r="K100" s="74">
        <f>VLOOKUP(B100,UAW!$D$13:$E$23,2,0)/COUNTIFS($A$3:$A$179,A100,$D$3:$D$179,D100)</f>
        <v>1.8387096774193548</v>
      </c>
      <c r="L100">
        <f>VLOOKUP(D100,ECF!$B$18:$C$25,2,0)</f>
        <v>0.96499999999999986</v>
      </c>
      <c r="M100">
        <f>VLOOKUP(D100,TFC!$B$22:$C$29,2,0)</f>
        <v>1.08</v>
      </c>
      <c r="N100">
        <f t="shared" si="9"/>
        <v>12.338303225806451</v>
      </c>
      <c r="O100" s="76">
        <f t="shared" si="10"/>
        <v>308.45758064516127</v>
      </c>
      <c r="P100" s="73">
        <f t="shared" si="11"/>
        <v>23134.318548387095</v>
      </c>
    </row>
    <row r="101" spans="1:16" x14ac:dyDescent="0.2">
      <c r="A101" s="30" t="s">
        <v>152</v>
      </c>
      <c r="B101" s="30" t="str">
        <f t="shared" si="6"/>
        <v>Agenda Správcu výberu mýtaET-BO</v>
      </c>
      <c r="C101" s="30" t="s">
        <v>175</v>
      </c>
      <c r="D101" s="31" t="s">
        <v>179</v>
      </c>
      <c r="E101" s="32" t="s">
        <v>91</v>
      </c>
      <c r="F101" s="33" t="s">
        <v>34</v>
      </c>
      <c r="G101" s="30">
        <v>4</v>
      </c>
      <c r="H101">
        <f>VLOOKUP(E101,PIVOT!$B$4:$D$165,3,0)</f>
        <v>10</v>
      </c>
      <c r="I101">
        <f t="shared" si="7"/>
        <v>4</v>
      </c>
      <c r="J101">
        <f t="shared" si="8"/>
        <v>40</v>
      </c>
      <c r="K101" s="74">
        <f>VLOOKUP(B101,UAW!$D$13:$E$23,2,0)/COUNTIFS($A$3:$A$179,A101,$D$3:$D$179,D101)</f>
        <v>1.8387096774193548</v>
      </c>
      <c r="L101">
        <f>VLOOKUP(D101,ECF!$B$18:$C$25,2,0)</f>
        <v>0.96499999999999986</v>
      </c>
      <c r="M101">
        <f>VLOOKUP(D101,TFC!$B$22:$C$29,2,0)</f>
        <v>1.08</v>
      </c>
      <c r="N101">
        <f t="shared" si="9"/>
        <v>43.604303225806447</v>
      </c>
      <c r="O101" s="76">
        <f t="shared" si="10"/>
        <v>1090.1075806451611</v>
      </c>
      <c r="P101" s="73">
        <f t="shared" si="11"/>
        <v>81758.068548387077</v>
      </c>
    </row>
    <row r="102" spans="1:16" x14ac:dyDescent="0.2">
      <c r="A102" s="30" t="s">
        <v>152</v>
      </c>
      <c r="B102" s="30" t="str">
        <f t="shared" si="6"/>
        <v>Agenda Správcu výberu mýtaET-BO</v>
      </c>
      <c r="C102" s="30" t="s">
        <v>175</v>
      </c>
      <c r="D102" s="31" t="s">
        <v>179</v>
      </c>
      <c r="E102" s="32" t="s">
        <v>92</v>
      </c>
      <c r="F102" s="33" t="s">
        <v>34</v>
      </c>
      <c r="G102" s="30">
        <v>0</v>
      </c>
      <c r="H102">
        <f>VLOOKUP(E102,PIVOT!$B$4:$D$165,3,0)</f>
        <v>10</v>
      </c>
      <c r="I102">
        <f t="shared" si="7"/>
        <v>1</v>
      </c>
      <c r="J102">
        <f t="shared" si="8"/>
        <v>10</v>
      </c>
      <c r="K102" s="74">
        <f>VLOOKUP(B102,UAW!$D$13:$E$23,2,0)/COUNTIFS($A$3:$A$179,A102,$D$3:$D$179,D102)</f>
        <v>1.8387096774193548</v>
      </c>
      <c r="L102">
        <f>VLOOKUP(D102,ECF!$B$18:$C$25,2,0)</f>
        <v>0.96499999999999986</v>
      </c>
      <c r="M102">
        <f>VLOOKUP(D102,TFC!$B$22:$C$29,2,0)</f>
        <v>1.08</v>
      </c>
      <c r="N102">
        <f t="shared" si="9"/>
        <v>12.338303225806451</v>
      </c>
      <c r="O102" s="76">
        <f t="shared" si="10"/>
        <v>308.45758064516127</v>
      </c>
      <c r="P102" s="73">
        <f t="shared" si="11"/>
        <v>23134.318548387095</v>
      </c>
    </row>
    <row r="103" spans="1:16" x14ac:dyDescent="0.2">
      <c r="A103" s="30" t="s">
        <v>152</v>
      </c>
      <c r="B103" s="30" t="str">
        <f t="shared" si="6"/>
        <v>Agenda Správcu výberu mýtaET-BO</v>
      </c>
      <c r="C103" s="30" t="s">
        <v>175</v>
      </c>
      <c r="D103" s="31" t="s">
        <v>179</v>
      </c>
      <c r="E103" s="32" t="s">
        <v>88</v>
      </c>
      <c r="F103" s="33" t="s">
        <v>34</v>
      </c>
      <c r="G103" s="30">
        <v>0</v>
      </c>
      <c r="H103">
        <f>VLOOKUP(E103,PIVOT!$B$4:$D$165,3,0)</f>
        <v>10</v>
      </c>
      <c r="I103">
        <f t="shared" si="7"/>
        <v>1</v>
      </c>
      <c r="J103">
        <f t="shared" si="8"/>
        <v>10</v>
      </c>
      <c r="K103" s="74">
        <f>VLOOKUP(B103,UAW!$D$13:$E$23,2,0)/COUNTIFS($A$3:$A$179,A103,$D$3:$D$179,D103)</f>
        <v>1.8387096774193548</v>
      </c>
      <c r="L103">
        <f>VLOOKUP(D103,ECF!$B$18:$C$25,2,0)</f>
        <v>0.96499999999999986</v>
      </c>
      <c r="M103">
        <f>VLOOKUP(D103,TFC!$B$22:$C$29,2,0)</f>
        <v>1.08</v>
      </c>
      <c r="N103">
        <f t="shared" si="9"/>
        <v>12.338303225806451</v>
      </c>
      <c r="O103" s="76">
        <f t="shared" si="10"/>
        <v>308.45758064516127</v>
      </c>
      <c r="P103" s="73">
        <f t="shared" si="11"/>
        <v>23134.318548387095</v>
      </c>
    </row>
    <row r="104" spans="1:16" x14ac:dyDescent="0.2">
      <c r="A104" s="30" t="s">
        <v>152</v>
      </c>
      <c r="B104" s="30" t="str">
        <f t="shared" si="6"/>
        <v>Agenda Správcu výberu mýtaET-BO</v>
      </c>
      <c r="C104" s="30" t="s">
        <v>175</v>
      </c>
      <c r="D104" s="31" t="s">
        <v>179</v>
      </c>
      <c r="E104" s="32" t="s">
        <v>84</v>
      </c>
      <c r="F104" s="33" t="s">
        <v>34</v>
      </c>
      <c r="G104" s="30">
        <v>4</v>
      </c>
      <c r="H104">
        <f>VLOOKUP(E104,PIVOT!$B$4:$D$165,3,0)</f>
        <v>10</v>
      </c>
      <c r="I104">
        <f t="shared" si="7"/>
        <v>4</v>
      </c>
      <c r="J104">
        <f t="shared" si="8"/>
        <v>40</v>
      </c>
      <c r="K104" s="74">
        <f>VLOOKUP(B104,UAW!$D$13:$E$23,2,0)/COUNTIFS($A$3:$A$179,A104,$D$3:$D$179,D104)</f>
        <v>1.8387096774193548</v>
      </c>
      <c r="L104">
        <f>VLOOKUP(D104,ECF!$B$18:$C$25,2,0)</f>
        <v>0.96499999999999986</v>
      </c>
      <c r="M104">
        <f>VLOOKUP(D104,TFC!$B$22:$C$29,2,0)</f>
        <v>1.08</v>
      </c>
      <c r="N104">
        <f t="shared" si="9"/>
        <v>43.604303225806447</v>
      </c>
      <c r="O104" s="76">
        <f t="shared" si="10"/>
        <v>1090.1075806451611</v>
      </c>
      <c r="P104" s="73">
        <f t="shared" si="11"/>
        <v>81758.068548387077</v>
      </c>
    </row>
    <row r="105" spans="1:16" x14ac:dyDescent="0.2">
      <c r="A105" s="30" t="s">
        <v>152</v>
      </c>
      <c r="B105" s="30" t="str">
        <f t="shared" si="6"/>
        <v>Agenda Správcu výberu mýtaCRM-BO</v>
      </c>
      <c r="C105" s="30" t="s">
        <v>2</v>
      </c>
      <c r="D105" s="31" t="s">
        <v>155</v>
      </c>
      <c r="E105" s="32" t="s">
        <v>32</v>
      </c>
      <c r="F105" s="33" t="s">
        <v>34</v>
      </c>
      <c r="G105" s="30">
        <v>0</v>
      </c>
      <c r="H105">
        <f>VLOOKUP(E105,PIVOT!$B$4:$D$165,3,0)</f>
        <v>10</v>
      </c>
      <c r="I105">
        <f t="shared" si="7"/>
        <v>1</v>
      </c>
      <c r="J105">
        <f t="shared" si="8"/>
        <v>10</v>
      </c>
      <c r="K105" s="74">
        <f>VLOOKUP(B105,UAW!$D$13:$E$23,2,0)/COUNTIFS($A$3:$A$179,A105,$D$3:$D$179,D105)</f>
        <v>1.3043478260869565</v>
      </c>
      <c r="L105">
        <f>VLOOKUP(D105,ECF!$B$18:$C$25,2,0)</f>
        <v>0.75499999999999989</v>
      </c>
      <c r="M105">
        <f>VLOOKUP(D105,TFC!$B$22:$C$29,2,0)</f>
        <v>1</v>
      </c>
      <c r="N105">
        <f t="shared" si="9"/>
        <v>8.534782608695652</v>
      </c>
      <c r="O105" s="76">
        <f t="shared" si="10"/>
        <v>213.36956521739131</v>
      </c>
      <c r="P105" s="73">
        <f t="shared" si="11"/>
        <v>16002.717391304348</v>
      </c>
    </row>
    <row r="106" spans="1:16" x14ac:dyDescent="0.2">
      <c r="A106" s="30" t="s">
        <v>152</v>
      </c>
      <c r="B106" s="30" t="str">
        <f t="shared" si="6"/>
        <v>Agenda Správcu výberu mýtaCRM-BO</v>
      </c>
      <c r="C106" s="30" t="s">
        <v>2</v>
      </c>
      <c r="D106" s="31" t="s">
        <v>155</v>
      </c>
      <c r="E106" s="32" t="s">
        <v>33</v>
      </c>
      <c r="F106" s="33" t="s">
        <v>34</v>
      </c>
      <c r="G106" s="30">
        <v>1</v>
      </c>
      <c r="H106">
        <f>VLOOKUP(E106,PIVOT!$B$4:$D$165,3,0)</f>
        <v>5</v>
      </c>
      <c r="I106">
        <f t="shared" si="7"/>
        <v>1</v>
      </c>
      <c r="J106">
        <f t="shared" si="8"/>
        <v>5</v>
      </c>
      <c r="K106" s="74">
        <f>VLOOKUP(B106,UAW!$D$13:$E$23,2,0)/COUNTIFS($A$3:$A$179,A106,$D$3:$D$179,D106)</f>
        <v>1.3043478260869565</v>
      </c>
      <c r="L106">
        <f>VLOOKUP(D106,ECF!$B$18:$C$25,2,0)</f>
        <v>0.75499999999999989</v>
      </c>
      <c r="M106">
        <f>VLOOKUP(D106,TFC!$B$22:$C$29,2,0)</f>
        <v>1</v>
      </c>
      <c r="N106">
        <f t="shared" si="9"/>
        <v>4.7597826086956516</v>
      </c>
      <c r="O106" s="76">
        <f t="shared" si="10"/>
        <v>118.99456521739128</v>
      </c>
      <c r="P106" s="73">
        <f t="shared" si="11"/>
        <v>8924.5923913043462</v>
      </c>
    </row>
    <row r="107" spans="1:16" x14ac:dyDescent="0.2">
      <c r="A107" s="30" t="s">
        <v>152</v>
      </c>
      <c r="B107" s="30" t="str">
        <f t="shared" si="6"/>
        <v>Agenda Správcu výberu mýtaCRM-BO</v>
      </c>
      <c r="C107" s="30" t="s">
        <v>2</v>
      </c>
      <c r="D107" s="31" t="s">
        <v>155</v>
      </c>
      <c r="E107" s="32" t="s">
        <v>38</v>
      </c>
      <c r="F107" s="33" t="s">
        <v>34</v>
      </c>
      <c r="G107" s="30">
        <v>2</v>
      </c>
      <c r="H107">
        <f>VLOOKUP(E107,PIVOT!$B$4:$D$165,3,0)</f>
        <v>5</v>
      </c>
      <c r="I107">
        <f t="shared" si="7"/>
        <v>2</v>
      </c>
      <c r="J107">
        <f t="shared" si="8"/>
        <v>10</v>
      </c>
      <c r="K107" s="74">
        <f>VLOOKUP(B107,UAW!$D$13:$E$23,2,0)/COUNTIFS($A$3:$A$179,A107,$D$3:$D$179,D107)</f>
        <v>1.3043478260869565</v>
      </c>
      <c r="L107">
        <f>VLOOKUP(D107,ECF!$B$18:$C$25,2,0)</f>
        <v>0.75499999999999989</v>
      </c>
      <c r="M107">
        <f>VLOOKUP(D107,TFC!$B$22:$C$29,2,0)</f>
        <v>1</v>
      </c>
      <c r="N107">
        <f t="shared" si="9"/>
        <v>8.534782608695652</v>
      </c>
      <c r="O107" s="76">
        <f t="shared" si="10"/>
        <v>213.36956521739131</v>
      </c>
      <c r="P107" s="73">
        <f t="shared" si="11"/>
        <v>16002.717391304348</v>
      </c>
    </row>
    <row r="108" spans="1:16" x14ac:dyDescent="0.2">
      <c r="A108" s="30" t="s">
        <v>152</v>
      </c>
      <c r="B108" s="30" t="str">
        <f t="shared" si="6"/>
        <v>Agenda Správcu výberu mýtaCRM-BO</v>
      </c>
      <c r="C108" s="30" t="s">
        <v>2</v>
      </c>
      <c r="D108" s="31" t="s">
        <v>155</v>
      </c>
      <c r="E108" s="32" t="s">
        <v>9</v>
      </c>
      <c r="F108" s="33" t="s">
        <v>34</v>
      </c>
      <c r="G108" s="30">
        <v>1</v>
      </c>
      <c r="H108">
        <f>VLOOKUP(E108,PIVOT!$B$4:$D$165,3,0)</f>
        <v>5</v>
      </c>
      <c r="I108">
        <f t="shared" si="7"/>
        <v>1</v>
      </c>
      <c r="J108">
        <f t="shared" si="8"/>
        <v>5</v>
      </c>
      <c r="K108" s="74">
        <f>VLOOKUP(B108,UAW!$D$13:$E$23,2,0)/COUNTIFS($A$3:$A$179,A108,$D$3:$D$179,D108)</f>
        <v>1.3043478260869565</v>
      </c>
      <c r="L108">
        <f>VLOOKUP(D108,ECF!$B$18:$C$25,2,0)</f>
        <v>0.75499999999999989</v>
      </c>
      <c r="M108">
        <f>VLOOKUP(D108,TFC!$B$22:$C$29,2,0)</f>
        <v>1</v>
      </c>
      <c r="N108">
        <f t="shared" si="9"/>
        <v>4.7597826086956516</v>
      </c>
      <c r="O108" s="76">
        <f t="shared" si="10"/>
        <v>118.99456521739128</v>
      </c>
      <c r="P108" s="73">
        <f t="shared" si="11"/>
        <v>8924.5923913043462</v>
      </c>
    </row>
    <row r="109" spans="1:16" x14ac:dyDescent="0.2">
      <c r="A109" s="30" t="s">
        <v>152</v>
      </c>
      <c r="B109" s="30" t="str">
        <f t="shared" si="6"/>
        <v>Agenda Správcu výberu mýtaCRM-BO</v>
      </c>
      <c r="C109" s="30" t="s">
        <v>2</v>
      </c>
      <c r="D109" s="31" t="s">
        <v>155</v>
      </c>
      <c r="E109" s="32" t="s">
        <v>170</v>
      </c>
      <c r="F109" s="33" t="s">
        <v>34</v>
      </c>
      <c r="G109" s="30">
        <v>0</v>
      </c>
      <c r="H109">
        <f>VLOOKUP(E109,PIVOT!$B$4:$D$165,3,0)</f>
        <v>10</v>
      </c>
      <c r="I109">
        <f t="shared" si="7"/>
        <v>1</v>
      </c>
      <c r="J109">
        <f t="shared" si="8"/>
        <v>10</v>
      </c>
      <c r="K109" s="74">
        <f>VLOOKUP(B109,UAW!$D$13:$E$23,2,0)/COUNTIFS($A$3:$A$179,A109,$D$3:$D$179,D109)</f>
        <v>1.3043478260869565</v>
      </c>
      <c r="L109">
        <f>VLOOKUP(D109,ECF!$B$18:$C$25,2,0)</f>
        <v>0.75499999999999989</v>
      </c>
      <c r="M109">
        <f>VLOOKUP(D109,TFC!$B$22:$C$29,2,0)</f>
        <v>1</v>
      </c>
      <c r="N109">
        <f t="shared" si="9"/>
        <v>8.534782608695652</v>
      </c>
      <c r="O109" s="76">
        <f t="shared" si="10"/>
        <v>213.36956521739131</v>
      </c>
      <c r="P109" s="73">
        <f t="shared" si="11"/>
        <v>16002.717391304348</v>
      </c>
    </row>
    <row r="110" spans="1:16" x14ac:dyDescent="0.2">
      <c r="A110" s="30" t="s">
        <v>152</v>
      </c>
      <c r="B110" s="30" t="str">
        <f t="shared" si="6"/>
        <v>Agenda Správcu výberu mýtaCRM-BO</v>
      </c>
      <c r="C110" s="30" t="s">
        <v>2</v>
      </c>
      <c r="D110" s="31" t="s">
        <v>155</v>
      </c>
      <c r="E110" s="32" t="s">
        <v>39</v>
      </c>
      <c r="F110" s="33" t="s">
        <v>34</v>
      </c>
      <c r="G110" s="30">
        <v>1</v>
      </c>
      <c r="H110">
        <f>VLOOKUP(E110,PIVOT!$B$4:$D$165,3,0)</f>
        <v>5</v>
      </c>
      <c r="I110">
        <f t="shared" si="7"/>
        <v>1</v>
      </c>
      <c r="J110">
        <f t="shared" si="8"/>
        <v>5</v>
      </c>
      <c r="K110" s="74">
        <f>VLOOKUP(B110,UAW!$D$13:$E$23,2,0)/COUNTIFS($A$3:$A$179,A110,$D$3:$D$179,D110)</f>
        <v>1.3043478260869565</v>
      </c>
      <c r="L110">
        <f>VLOOKUP(D110,ECF!$B$18:$C$25,2,0)</f>
        <v>0.75499999999999989</v>
      </c>
      <c r="M110">
        <f>VLOOKUP(D110,TFC!$B$22:$C$29,2,0)</f>
        <v>1</v>
      </c>
      <c r="N110">
        <f t="shared" si="9"/>
        <v>4.7597826086956516</v>
      </c>
      <c r="O110" s="76">
        <f t="shared" si="10"/>
        <v>118.99456521739128</v>
      </c>
      <c r="P110" s="73">
        <f t="shared" si="11"/>
        <v>8924.5923913043462</v>
      </c>
    </row>
    <row r="111" spans="1:16" x14ac:dyDescent="0.2">
      <c r="A111" s="30" t="s">
        <v>152</v>
      </c>
      <c r="B111" s="30" t="str">
        <f t="shared" si="6"/>
        <v>Agenda Správcu výberu mýtaCRM-BO</v>
      </c>
      <c r="C111" s="30" t="s">
        <v>2</v>
      </c>
      <c r="D111" s="31" t="s">
        <v>155</v>
      </c>
      <c r="E111" s="32" t="s">
        <v>40</v>
      </c>
      <c r="F111" s="33" t="s">
        <v>34</v>
      </c>
      <c r="G111" s="30">
        <v>1</v>
      </c>
      <c r="H111">
        <f>VLOOKUP(E111,PIVOT!$B$4:$D$165,3,0)</f>
        <v>10</v>
      </c>
      <c r="I111">
        <f t="shared" si="7"/>
        <v>1</v>
      </c>
      <c r="J111">
        <f t="shared" si="8"/>
        <v>10</v>
      </c>
      <c r="K111" s="74">
        <f>VLOOKUP(B111,UAW!$D$13:$E$23,2,0)/COUNTIFS($A$3:$A$179,A111,$D$3:$D$179,D111)</f>
        <v>1.3043478260869565</v>
      </c>
      <c r="L111">
        <f>VLOOKUP(D111,ECF!$B$18:$C$25,2,0)</f>
        <v>0.75499999999999989</v>
      </c>
      <c r="M111">
        <f>VLOOKUP(D111,TFC!$B$22:$C$29,2,0)</f>
        <v>1</v>
      </c>
      <c r="N111">
        <f t="shared" si="9"/>
        <v>8.534782608695652</v>
      </c>
      <c r="O111" s="76">
        <f t="shared" si="10"/>
        <v>213.36956521739131</v>
      </c>
      <c r="P111" s="73">
        <f t="shared" si="11"/>
        <v>16002.717391304348</v>
      </c>
    </row>
    <row r="112" spans="1:16" x14ac:dyDescent="0.2">
      <c r="A112" s="30" t="s">
        <v>152</v>
      </c>
      <c r="B112" s="30" t="str">
        <f t="shared" si="6"/>
        <v>Agenda Správcu výberu mýtaCRM-BO</v>
      </c>
      <c r="C112" s="30" t="s">
        <v>2</v>
      </c>
      <c r="D112" s="31" t="s">
        <v>155</v>
      </c>
      <c r="E112" s="32" t="s">
        <v>43</v>
      </c>
      <c r="F112" s="33" t="s">
        <v>34</v>
      </c>
      <c r="G112" s="30">
        <v>1</v>
      </c>
      <c r="H112">
        <f>VLOOKUP(E112,PIVOT!$B$4:$D$165,3,0)</f>
        <v>5</v>
      </c>
      <c r="I112">
        <f t="shared" si="7"/>
        <v>1</v>
      </c>
      <c r="J112">
        <f t="shared" si="8"/>
        <v>5</v>
      </c>
      <c r="K112" s="74">
        <f>VLOOKUP(B112,UAW!$D$13:$E$23,2,0)/COUNTIFS($A$3:$A$179,A112,$D$3:$D$179,D112)</f>
        <v>1.3043478260869565</v>
      </c>
      <c r="L112">
        <f>VLOOKUP(D112,ECF!$B$18:$C$25,2,0)</f>
        <v>0.75499999999999989</v>
      </c>
      <c r="M112">
        <f>VLOOKUP(D112,TFC!$B$22:$C$29,2,0)</f>
        <v>1</v>
      </c>
      <c r="N112">
        <f t="shared" si="9"/>
        <v>4.7597826086956516</v>
      </c>
      <c r="O112" s="76">
        <f t="shared" si="10"/>
        <v>118.99456521739128</v>
      </c>
      <c r="P112" s="73">
        <f t="shared" si="11"/>
        <v>8924.5923913043462</v>
      </c>
    </row>
    <row r="113" spans="1:16" x14ac:dyDescent="0.2">
      <c r="A113" s="30" t="s">
        <v>152</v>
      </c>
      <c r="B113" s="30" t="str">
        <f t="shared" si="6"/>
        <v>Agenda Správcu výberu mýtaCRM-BO</v>
      </c>
      <c r="C113" s="30" t="s">
        <v>2</v>
      </c>
      <c r="D113" s="31" t="s">
        <v>155</v>
      </c>
      <c r="E113" s="32" t="s">
        <v>16</v>
      </c>
      <c r="F113" s="33" t="s">
        <v>34</v>
      </c>
      <c r="G113" s="30">
        <v>1</v>
      </c>
      <c r="H113">
        <f>VLOOKUP(E113,PIVOT!$B$4:$D$165,3,0)</f>
        <v>10</v>
      </c>
      <c r="I113">
        <f t="shared" si="7"/>
        <v>1</v>
      </c>
      <c r="J113">
        <f t="shared" si="8"/>
        <v>10</v>
      </c>
      <c r="K113" s="74">
        <f>VLOOKUP(B113,UAW!$D$13:$E$23,2,0)/COUNTIFS($A$3:$A$179,A113,$D$3:$D$179,D113)</f>
        <v>1.3043478260869565</v>
      </c>
      <c r="L113">
        <f>VLOOKUP(D113,ECF!$B$18:$C$25,2,0)</f>
        <v>0.75499999999999989</v>
      </c>
      <c r="M113">
        <f>VLOOKUP(D113,TFC!$B$22:$C$29,2,0)</f>
        <v>1</v>
      </c>
      <c r="N113">
        <f t="shared" si="9"/>
        <v>8.534782608695652</v>
      </c>
      <c r="O113" s="76">
        <f t="shared" si="10"/>
        <v>213.36956521739131</v>
      </c>
      <c r="P113" s="73">
        <f t="shared" si="11"/>
        <v>16002.717391304348</v>
      </c>
    </row>
    <row r="114" spans="1:16" x14ac:dyDescent="0.2">
      <c r="A114" s="30" t="s">
        <v>152</v>
      </c>
      <c r="B114" s="30" t="str">
        <f t="shared" si="6"/>
        <v>Agenda Správcu výberu mýtaCRM-BO</v>
      </c>
      <c r="C114" s="30" t="s">
        <v>2</v>
      </c>
      <c r="D114" s="31" t="s">
        <v>155</v>
      </c>
      <c r="E114" s="32" t="s">
        <v>56</v>
      </c>
      <c r="F114" s="33" t="s">
        <v>34</v>
      </c>
      <c r="G114" s="30">
        <v>1</v>
      </c>
      <c r="H114">
        <f>VLOOKUP(E114,PIVOT!$B$4:$D$165,3,0)</f>
        <v>10</v>
      </c>
      <c r="I114">
        <f t="shared" si="7"/>
        <v>1</v>
      </c>
      <c r="J114">
        <f t="shared" si="8"/>
        <v>10</v>
      </c>
      <c r="K114" s="74">
        <f>VLOOKUP(B114,UAW!$D$13:$E$23,2,0)/COUNTIFS($A$3:$A$179,A114,$D$3:$D$179,D114)</f>
        <v>1.3043478260869565</v>
      </c>
      <c r="L114">
        <f>VLOOKUP(D114,ECF!$B$18:$C$25,2,0)</f>
        <v>0.75499999999999989</v>
      </c>
      <c r="M114">
        <f>VLOOKUP(D114,TFC!$B$22:$C$29,2,0)</f>
        <v>1</v>
      </c>
      <c r="N114">
        <f t="shared" si="9"/>
        <v>8.534782608695652</v>
      </c>
      <c r="O114" s="76">
        <f t="shared" si="10"/>
        <v>213.36956521739131</v>
      </c>
      <c r="P114" s="73">
        <f t="shared" si="11"/>
        <v>16002.717391304348</v>
      </c>
    </row>
    <row r="115" spans="1:16" x14ac:dyDescent="0.2">
      <c r="A115" s="30" t="s">
        <v>152</v>
      </c>
      <c r="B115" s="30" t="str">
        <f t="shared" si="6"/>
        <v>Agenda Správcu výberu mýtaCRM-BO</v>
      </c>
      <c r="C115" s="30" t="s">
        <v>2</v>
      </c>
      <c r="D115" s="31" t="s">
        <v>155</v>
      </c>
      <c r="E115" s="32" t="s">
        <v>44</v>
      </c>
      <c r="F115" s="33" t="s">
        <v>34</v>
      </c>
      <c r="G115" s="30">
        <v>1</v>
      </c>
      <c r="H115">
        <f>VLOOKUP(E115,PIVOT!$B$4:$D$165,3,0)</f>
        <v>10</v>
      </c>
      <c r="I115">
        <f t="shared" si="7"/>
        <v>1</v>
      </c>
      <c r="J115">
        <f t="shared" si="8"/>
        <v>10</v>
      </c>
      <c r="K115" s="74">
        <f>VLOOKUP(B115,UAW!$D$13:$E$23,2,0)/COUNTIFS($A$3:$A$179,A115,$D$3:$D$179,D115)</f>
        <v>1.3043478260869565</v>
      </c>
      <c r="L115">
        <f>VLOOKUP(D115,ECF!$B$18:$C$25,2,0)</f>
        <v>0.75499999999999989</v>
      </c>
      <c r="M115">
        <f>VLOOKUP(D115,TFC!$B$22:$C$29,2,0)</f>
        <v>1</v>
      </c>
      <c r="N115">
        <f t="shared" si="9"/>
        <v>8.534782608695652</v>
      </c>
      <c r="O115" s="76">
        <f t="shared" si="10"/>
        <v>213.36956521739131</v>
      </c>
      <c r="P115" s="73">
        <f t="shared" si="11"/>
        <v>16002.717391304348</v>
      </c>
    </row>
    <row r="116" spans="1:16" x14ac:dyDescent="0.2">
      <c r="A116" s="30" t="s">
        <v>152</v>
      </c>
      <c r="B116" s="30" t="str">
        <f t="shared" si="6"/>
        <v>Agenda Správcu výberu mýtaCRM-BO</v>
      </c>
      <c r="C116" s="30" t="s">
        <v>2</v>
      </c>
      <c r="D116" s="31" t="s">
        <v>155</v>
      </c>
      <c r="E116" s="32" t="s">
        <v>45</v>
      </c>
      <c r="F116" s="33" t="s">
        <v>34</v>
      </c>
      <c r="G116" s="30">
        <v>2</v>
      </c>
      <c r="H116">
        <f>VLOOKUP(E116,PIVOT!$B$4:$D$165,3,0)</f>
        <v>5</v>
      </c>
      <c r="I116">
        <f t="shared" si="7"/>
        <v>2</v>
      </c>
      <c r="J116">
        <f t="shared" si="8"/>
        <v>10</v>
      </c>
      <c r="K116" s="74">
        <f>VLOOKUP(B116,UAW!$D$13:$E$23,2,0)/COUNTIFS($A$3:$A$179,A116,$D$3:$D$179,D116)</f>
        <v>1.3043478260869565</v>
      </c>
      <c r="L116">
        <f>VLOOKUP(D116,ECF!$B$18:$C$25,2,0)</f>
        <v>0.75499999999999989</v>
      </c>
      <c r="M116">
        <f>VLOOKUP(D116,TFC!$B$22:$C$29,2,0)</f>
        <v>1</v>
      </c>
      <c r="N116">
        <f t="shared" si="9"/>
        <v>8.534782608695652</v>
      </c>
      <c r="O116" s="76">
        <f t="shared" si="10"/>
        <v>213.36956521739131</v>
      </c>
      <c r="P116" s="73">
        <f t="shared" si="11"/>
        <v>16002.717391304348</v>
      </c>
    </row>
    <row r="117" spans="1:16" ht="25.5" x14ac:dyDescent="0.2">
      <c r="A117" s="30" t="s">
        <v>152</v>
      </c>
      <c r="B117" s="30" t="str">
        <f t="shared" si="6"/>
        <v>Agenda Správcu výberu mýtaCRM-BO</v>
      </c>
      <c r="C117" s="30" t="s">
        <v>2</v>
      </c>
      <c r="D117" s="31" t="s">
        <v>155</v>
      </c>
      <c r="E117" s="32" t="s">
        <v>12</v>
      </c>
      <c r="F117" s="33" t="s">
        <v>34</v>
      </c>
      <c r="G117" s="30">
        <v>1</v>
      </c>
      <c r="H117">
        <f>VLOOKUP(E117,PIVOT!$B$4:$D$165,3,0)</f>
        <v>10</v>
      </c>
      <c r="I117">
        <f t="shared" si="7"/>
        <v>1</v>
      </c>
      <c r="J117">
        <f t="shared" si="8"/>
        <v>10</v>
      </c>
      <c r="K117" s="74">
        <f>VLOOKUP(B117,UAW!$D$13:$E$23,2,0)/COUNTIFS($A$3:$A$179,A117,$D$3:$D$179,D117)</f>
        <v>1.3043478260869565</v>
      </c>
      <c r="L117">
        <f>VLOOKUP(D117,ECF!$B$18:$C$25,2,0)</f>
        <v>0.75499999999999989</v>
      </c>
      <c r="M117">
        <f>VLOOKUP(D117,TFC!$B$22:$C$29,2,0)</f>
        <v>1</v>
      </c>
      <c r="N117">
        <f t="shared" si="9"/>
        <v>8.534782608695652</v>
      </c>
      <c r="O117" s="76">
        <f t="shared" si="10"/>
        <v>213.36956521739131</v>
      </c>
      <c r="P117" s="73">
        <f t="shared" si="11"/>
        <v>16002.717391304348</v>
      </c>
    </row>
    <row r="118" spans="1:16" ht="25.5" x14ac:dyDescent="0.2">
      <c r="A118" s="30" t="s">
        <v>152</v>
      </c>
      <c r="B118" s="30" t="str">
        <f t="shared" si="6"/>
        <v>Agenda Správcu výberu mýtaCRM-BO</v>
      </c>
      <c r="C118" s="30" t="s">
        <v>2</v>
      </c>
      <c r="D118" s="31" t="s">
        <v>155</v>
      </c>
      <c r="E118" s="32" t="s">
        <v>46</v>
      </c>
      <c r="F118" s="33" t="s">
        <v>34</v>
      </c>
      <c r="G118" s="30">
        <v>1</v>
      </c>
      <c r="H118">
        <f>VLOOKUP(E118,PIVOT!$B$4:$D$165,3,0)</f>
        <v>10</v>
      </c>
      <c r="I118">
        <f t="shared" si="7"/>
        <v>1</v>
      </c>
      <c r="J118">
        <f t="shared" si="8"/>
        <v>10</v>
      </c>
      <c r="K118" s="74">
        <f>VLOOKUP(B118,UAW!$D$13:$E$23,2,0)/COUNTIFS($A$3:$A$179,A118,$D$3:$D$179,D118)</f>
        <v>1.3043478260869565</v>
      </c>
      <c r="L118">
        <f>VLOOKUP(D118,ECF!$B$18:$C$25,2,0)</f>
        <v>0.75499999999999989</v>
      </c>
      <c r="M118">
        <f>VLOOKUP(D118,TFC!$B$22:$C$29,2,0)</f>
        <v>1</v>
      </c>
      <c r="N118">
        <f t="shared" si="9"/>
        <v>8.534782608695652</v>
      </c>
      <c r="O118" s="76">
        <f t="shared" si="10"/>
        <v>213.36956521739131</v>
      </c>
      <c r="P118" s="73">
        <f t="shared" si="11"/>
        <v>16002.717391304348</v>
      </c>
    </row>
    <row r="119" spans="1:16" x14ac:dyDescent="0.2">
      <c r="A119" s="30" t="s">
        <v>152</v>
      </c>
      <c r="B119" s="30" t="str">
        <f t="shared" si="6"/>
        <v>Agenda Správcu výberu mýtaCRM-BO</v>
      </c>
      <c r="C119" s="30" t="s">
        <v>2</v>
      </c>
      <c r="D119" s="31" t="s">
        <v>155</v>
      </c>
      <c r="E119" s="32" t="s">
        <v>47</v>
      </c>
      <c r="F119" s="33" t="s">
        <v>34</v>
      </c>
      <c r="G119" s="30">
        <v>5</v>
      </c>
      <c r="H119">
        <f>VLOOKUP(E119,PIVOT!$B$4:$D$165,3,0)</f>
        <v>5</v>
      </c>
      <c r="I119">
        <f t="shared" si="7"/>
        <v>5</v>
      </c>
      <c r="J119">
        <f t="shared" si="8"/>
        <v>25</v>
      </c>
      <c r="K119" s="74">
        <f>VLOOKUP(B119,UAW!$D$13:$E$23,2,0)/COUNTIFS($A$3:$A$179,A119,$D$3:$D$179,D119)</f>
        <v>1.3043478260869565</v>
      </c>
      <c r="L119">
        <f>VLOOKUP(D119,ECF!$B$18:$C$25,2,0)</f>
        <v>0.75499999999999989</v>
      </c>
      <c r="M119">
        <f>VLOOKUP(D119,TFC!$B$22:$C$29,2,0)</f>
        <v>1</v>
      </c>
      <c r="N119">
        <f t="shared" si="9"/>
        <v>19.859782608695649</v>
      </c>
      <c r="O119" s="76">
        <f t="shared" si="10"/>
        <v>496.49456521739125</v>
      </c>
      <c r="P119" s="73">
        <f t="shared" si="11"/>
        <v>37237.092391304344</v>
      </c>
    </row>
    <row r="120" spans="1:16" x14ac:dyDescent="0.2">
      <c r="A120" s="30" t="s">
        <v>152</v>
      </c>
      <c r="B120" s="30" t="str">
        <f t="shared" si="6"/>
        <v>Agenda Správcu výberu mýtaCRM-BO</v>
      </c>
      <c r="C120" s="30" t="s">
        <v>2</v>
      </c>
      <c r="D120" s="31" t="s">
        <v>155</v>
      </c>
      <c r="E120" s="32" t="s">
        <v>73</v>
      </c>
      <c r="F120" s="33" t="s">
        <v>34</v>
      </c>
      <c r="G120" s="30">
        <v>4</v>
      </c>
      <c r="H120">
        <f>VLOOKUP(E120,PIVOT!$B$4:$D$165,3,0)</f>
        <v>5</v>
      </c>
      <c r="I120">
        <f t="shared" si="7"/>
        <v>4</v>
      </c>
      <c r="J120">
        <f t="shared" si="8"/>
        <v>20</v>
      </c>
      <c r="K120" s="74">
        <f>VLOOKUP(B120,UAW!$D$13:$E$23,2,0)/COUNTIFS($A$3:$A$179,A120,$D$3:$D$179,D120)</f>
        <v>1.3043478260869565</v>
      </c>
      <c r="L120">
        <f>VLOOKUP(D120,ECF!$B$18:$C$25,2,0)</f>
        <v>0.75499999999999989</v>
      </c>
      <c r="M120">
        <f>VLOOKUP(D120,TFC!$B$22:$C$29,2,0)</f>
        <v>1</v>
      </c>
      <c r="N120">
        <f t="shared" si="9"/>
        <v>16.084782608695651</v>
      </c>
      <c r="O120" s="76">
        <f t="shared" si="10"/>
        <v>402.11956521739125</v>
      </c>
      <c r="P120" s="73">
        <f t="shared" si="11"/>
        <v>30158.967391304344</v>
      </c>
    </row>
    <row r="121" spans="1:16" x14ac:dyDescent="0.2">
      <c r="A121" s="30" t="s">
        <v>152</v>
      </c>
      <c r="B121" s="30" t="str">
        <f t="shared" si="6"/>
        <v>Agenda Správcu výberu mýtaCRM-BO</v>
      </c>
      <c r="C121" s="30" t="s">
        <v>2</v>
      </c>
      <c r="D121" s="31" t="s">
        <v>155</v>
      </c>
      <c r="E121" s="32" t="s">
        <v>49</v>
      </c>
      <c r="F121" s="33" t="s">
        <v>34</v>
      </c>
      <c r="G121" s="30">
        <v>4</v>
      </c>
      <c r="H121">
        <f>VLOOKUP(E121,PIVOT!$B$4:$D$165,3,0)</f>
        <v>10</v>
      </c>
      <c r="I121">
        <f t="shared" si="7"/>
        <v>4</v>
      </c>
      <c r="J121">
        <f t="shared" si="8"/>
        <v>40</v>
      </c>
      <c r="K121" s="74">
        <f>VLOOKUP(B121,UAW!$D$13:$E$23,2,0)/COUNTIFS($A$3:$A$179,A121,$D$3:$D$179,D121)</f>
        <v>1.3043478260869565</v>
      </c>
      <c r="L121">
        <f>VLOOKUP(D121,ECF!$B$18:$C$25,2,0)</f>
        <v>0.75499999999999989</v>
      </c>
      <c r="M121">
        <f>VLOOKUP(D121,TFC!$B$22:$C$29,2,0)</f>
        <v>1</v>
      </c>
      <c r="N121">
        <f t="shared" si="9"/>
        <v>31.184782608695645</v>
      </c>
      <c r="O121" s="76">
        <f t="shared" si="10"/>
        <v>779.61956521739114</v>
      </c>
      <c r="P121" s="73">
        <f t="shared" si="11"/>
        <v>58471.467391304337</v>
      </c>
    </row>
    <row r="122" spans="1:16" x14ac:dyDescent="0.2">
      <c r="A122" s="30" t="s">
        <v>152</v>
      </c>
      <c r="B122" s="30" t="str">
        <f t="shared" si="6"/>
        <v>Agenda Správcu výberu mýtaCRM-BO</v>
      </c>
      <c r="C122" s="30" t="s">
        <v>2</v>
      </c>
      <c r="D122" s="31" t="s">
        <v>155</v>
      </c>
      <c r="E122" s="32" t="s">
        <v>14</v>
      </c>
      <c r="F122" s="33" t="s">
        <v>34</v>
      </c>
      <c r="G122" s="30">
        <v>4</v>
      </c>
      <c r="H122">
        <f>VLOOKUP(E122,PIVOT!$B$4:$D$165,3,0)</f>
        <v>5</v>
      </c>
      <c r="I122">
        <f t="shared" si="7"/>
        <v>4</v>
      </c>
      <c r="J122">
        <f t="shared" si="8"/>
        <v>20</v>
      </c>
      <c r="K122" s="74">
        <f>VLOOKUP(B122,UAW!$D$13:$E$23,2,0)/COUNTIFS($A$3:$A$179,A122,$D$3:$D$179,D122)</f>
        <v>1.3043478260869565</v>
      </c>
      <c r="L122">
        <f>VLOOKUP(D122,ECF!$B$18:$C$25,2,0)</f>
        <v>0.75499999999999989</v>
      </c>
      <c r="M122">
        <f>VLOOKUP(D122,TFC!$B$22:$C$29,2,0)</f>
        <v>1</v>
      </c>
      <c r="N122">
        <f t="shared" si="9"/>
        <v>16.084782608695651</v>
      </c>
      <c r="O122" s="76">
        <f t="shared" si="10"/>
        <v>402.11956521739125</v>
      </c>
      <c r="P122" s="73">
        <f t="shared" si="11"/>
        <v>30158.967391304344</v>
      </c>
    </row>
    <row r="123" spans="1:16" x14ac:dyDescent="0.2">
      <c r="A123" s="30" t="s">
        <v>152</v>
      </c>
      <c r="B123" s="30" t="str">
        <f t="shared" si="6"/>
        <v>Agenda Správcu výberu mýtaCRM-BO</v>
      </c>
      <c r="C123" s="30" t="s">
        <v>2</v>
      </c>
      <c r="D123" s="31" t="s">
        <v>155</v>
      </c>
      <c r="E123" s="32" t="s">
        <v>54</v>
      </c>
      <c r="F123" s="33" t="s">
        <v>34</v>
      </c>
      <c r="G123" s="30">
        <v>1</v>
      </c>
      <c r="H123">
        <f>VLOOKUP(E123,PIVOT!$B$4:$D$165,3,0)</f>
        <v>15</v>
      </c>
      <c r="I123">
        <f t="shared" si="7"/>
        <v>1</v>
      </c>
      <c r="J123">
        <f t="shared" si="8"/>
        <v>15</v>
      </c>
      <c r="K123" s="74">
        <f>VLOOKUP(B123,UAW!$D$13:$E$23,2,0)/COUNTIFS($A$3:$A$179,A123,$D$3:$D$179,D123)</f>
        <v>1.3043478260869565</v>
      </c>
      <c r="L123">
        <f>VLOOKUP(D123,ECF!$B$18:$C$25,2,0)</f>
        <v>0.75499999999999989</v>
      </c>
      <c r="M123">
        <f>VLOOKUP(D123,TFC!$B$22:$C$29,2,0)</f>
        <v>1</v>
      </c>
      <c r="N123">
        <f t="shared" si="9"/>
        <v>12.309782608695651</v>
      </c>
      <c r="O123" s="76">
        <f t="shared" si="10"/>
        <v>307.74456521739125</v>
      </c>
      <c r="P123" s="73">
        <f t="shared" si="11"/>
        <v>23080.842391304344</v>
      </c>
    </row>
    <row r="124" spans="1:16" x14ac:dyDescent="0.2">
      <c r="A124" s="30" t="s">
        <v>152</v>
      </c>
      <c r="B124" s="30" t="str">
        <f t="shared" si="6"/>
        <v>Agenda Správcu výberu mýtaCRM-BO</v>
      </c>
      <c r="C124" s="30" t="s">
        <v>2</v>
      </c>
      <c r="D124" s="31" t="s">
        <v>155</v>
      </c>
      <c r="E124" s="32" t="s">
        <v>55</v>
      </c>
      <c r="F124" s="33" t="s">
        <v>34</v>
      </c>
      <c r="G124" s="30">
        <v>4</v>
      </c>
      <c r="H124">
        <f>VLOOKUP(E124,PIVOT!$B$4:$D$165,3,0)</f>
        <v>15</v>
      </c>
      <c r="I124">
        <f t="shared" si="7"/>
        <v>4</v>
      </c>
      <c r="J124">
        <f t="shared" si="8"/>
        <v>60</v>
      </c>
      <c r="K124" s="74">
        <f>VLOOKUP(B124,UAW!$D$13:$E$23,2,0)/COUNTIFS($A$3:$A$179,A124,$D$3:$D$179,D124)</f>
        <v>1.3043478260869565</v>
      </c>
      <c r="L124">
        <f>VLOOKUP(D124,ECF!$B$18:$C$25,2,0)</f>
        <v>0.75499999999999989</v>
      </c>
      <c r="M124">
        <f>VLOOKUP(D124,TFC!$B$22:$C$29,2,0)</f>
        <v>1</v>
      </c>
      <c r="N124">
        <f t="shared" si="9"/>
        <v>46.284782608695643</v>
      </c>
      <c r="O124" s="76">
        <f t="shared" si="10"/>
        <v>1157.119565217391</v>
      </c>
      <c r="P124" s="73">
        <f t="shared" si="11"/>
        <v>86783.967391304323</v>
      </c>
    </row>
    <row r="125" spans="1:16" x14ac:dyDescent="0.2">
      <c r="A125" s="30" t="s">
        <v>152</v>
      </c>
      <c r="B125" s="30" t="str">
        <f t="shared" si="6"/>
        <v>Agenda Správcu výberu mýtaCRM-BO</v>
      </c>
      <c r="C125" s="30" t="s">
        <v>2</v>
      </c>
      <c r="D125" s="31" t="s">
        <v>155</v>
      </c>
      <c r="E125" s="32" t="s">
        <v>51</v>
      </c>
      <c r="F125" s="33" t="s">
        <v>34</v>
      </c>
      <c r="G125" s="30">
        <v>4</v>
      </c>
      <c r="H125">
        <f>VLOOKUP(E125,PIVOT!$B$4:$D$165,3,0)</f>
        <v>5</v>
      </c>
      <c r="I125">
        <f t="shared" si="7"/>
        <v>4</v>
      </c>
      <c r="J125">
        <f t="shared" si="8"/>
        <v>20</v>
      </c>
      <c r="K125" s="74">
        <f>VLOOKUP(B125,UAW!$D$13:$E$23,2,0)/COUNTIFS($A$3:$A$179,A125,$D$3:$D$179,D125)</f>
        <v>1.3043478260869565</v>
      </c>
      <c r="L125">
        <f>VLOOKUP(D125,ECF!$B$18:$C$25,2,0)</f>
        <v>0.75499999999999989</v>
      </c>
      <c r="M125">
        <f>VLOOKUP(D125,TFC!$B$22:$C$29,2,0)</f>
        <v>1</v>
      </c>
      <c r="N125">
        <f t="shared" si="9"/>
        <v>16.084782608695651</v>
      </c>
      <c r="O125" s="76">
        <f t="shared" si="10"/>
        <v>402.11956521739125</v>
      </c>
      <c r="P125" s="73">
        <f t="shared" si="11"/>
        <v>30158.967391304344</v>
      </c>
    </row>
    <row r="126" spans="1:16" x14ac:dyDescent="0.2">
      <c r="A126" s="30" t="s">
        <v>152</v>
      </c>
      <c r="B126" s="30" t="str">
        <f t="shared" si="6"/>
        <v>Agenda Správcu výberu mýtaCRM-BO</v>
      </c>
      <c r="C126" s="30" t="s">
        <v>2</v>
      </c>
      <c r="D126" s="31" t="s">
        <v>155</v>
      </c>
      <c r="E126" s="32" t="s">
        <v>138</v>
      </c>
      <c r="F126" s="33" t="s">
        <v>34</v>
      </c>
      <c r="G126" s="30">
        <v>4</v>
      </c>
      <c r="H126">
        <f>VLOOKUP(E126,PIVOT!$B$4:$D$165,3,0)</f>
        <v>10</v>
      </c>
      <c r="I126">
        <f t="shared" si="7"/>
        <v>4</v>
      </c>
      <c r="J126">
        <f t="shared" si="8"/>
        <v>40</v>
      </c>
      <c r="K126" s="74">
        <f>VLOOKUP(B126,UAW!$D$13:$E$23,2,0)/COUNTIFS($A$3:$A$179,A126,$D$3:$D$179,D126)</f>
        <v>1.3043478260869565</v>
      </c>
      <c r="L126">
        <f>VLOOKUP(D126,ECF!$B$18:$C$25,2,0)</f>
        <v>0.75499999999999989</v>
      </c>
      <c r="M126">
        <f>VLOOKUP(D126,TFC!$B$22:$C$29,2,0)</f>
        <v>1</v>
      </c>
      <c r="N126">
        <f t="shared" si="9"/>
        <v>31.184782608695645</v>
      </c>
      <c r="O126" s="76">
        <f t="shared" si="10"/>
        <v>779.61956521739114</v>
      </c>
      <c r="P126" s="73">
        <f t="shared" si="11"/>
        <v>58471.467391304337</v>
      </c>
    </row>
    <row r="127" spans="1:16" ht="25.5" x14ac:dyDescent="0.2">
      <c r="A127" s="30" t="s">
        <v>152</v>
      </c>
      <c r="B127" s="30" t="str">
        <f t="shared" si="6"/>
        <v>Agenda Správcu výberu mýtaCRM-BO</v>
      </c>
      <c r="C127" s="30" t="s">
        <v>2</v>
      </c>
      <c r="D127" s="31" t="s">
        <v>155</v>
      </c>
      <c r="E127" s="32" t="s">
        <v>139</v>
      </c>
      <c r="F127" s="33" t="s">
        <v>34</v>
      </c>
      <c r="G127" s="30">
        <v>0</v>
      </c>
      <c r="H127">
        <f>VLOOKUP(E127,PIVOT!$B$4:$D$165,3,0)</f>
        <v>10</v>
      </c>
      <c r="I127">
        <f t="shared" si="7"/>
        <v>1</v>
      </c>
      <c r="J127">
        <f t="shared" si="8"/>
        <v>10</v>
      </c>
      <c r="K127" s="74">
        <f>VLOOKUP(B127,UAW!$D$13:$E$23,2,0)/COUNTIFS($A$3:$A$179,A127,$D$3:$D$179,D127)</f>
        <v>1.3043478260869565</v>
      </c>
      <c r="L127">
        <f>VLOOKUP(D127,ECF!$B$18:$C$25,2,0)</f>
        <v>0.75499999999999989</v>
      </c>
      <c r="M127">
        <f>VLOOKUP(D127,TFC!$B$22:$C$29,2,0)</f>
        <v>1</v>
      </c>
      <c r="N127">
        <f t="shared" si="9"/>
        <v>8.534782608695652</v>
      </c>
      <c r="O127" s="76">
        <f t="shared" si="10"/>
        <v>213.36956521739131</v>
      </c>
      <c r="P127" s="73">
        <f t="shared" si="11"/>
        <v>16002.717391304348</v>
      </c>
    </row>
    <row r="128" spans="1:16" x14ac:dyDescent="0.2">
      <c r="A128" s="30" t="s">
        <v>152</v>
      </c>
      <c r="B128" s="30" t="str">
        <f t="shared" si="6"/>
        <v>Agenda Správcu výberu mýtaCRM-BO</v>
      </c>
      <c r="C128" s="30" t="s">
        <v>2</v>
      </c>
      <c r="D128" s="31" t="s">
        <v>155</v>
      </c>
      <c r="E128" s="32" t="s">
        <v>140</v>
      </c>
      <c r="F128" s="33" t="s">
        <v>34</v>
      </c>
      <c r="G128" s="30">
        <v>0</v>
      </c>
      <c r="H128">
        <f>VLOOKUP(E128,PIVOT!$B$4:$D$165,3,0)</f>
        <v>10</v>
      </c>
      <c r="I128">
        <f t="shared" si="7"/>
        <v>1</v>
      </c>
      <c r="J128">
        <f t="shared" si="8"/>
        <v>10</v>
      </c>
      <c r="K128" s="74">
        <f>VLOOKUP(B128,UAW!$D$13:$E$23,2,0)/COUNTIFS($A$3:$A$179,A128,$D$3:$D$179,D128)</f>
        <v>1.3043478260869565</v>
      </c>
      <c r="L128">
        <f>VLOOKUP(D128,ECF!$B$18:$C$25,2,0)</f>
        <v>0.75499999999999989</v>
      </c>
      <c r="M128">
        <f>VLOOKUP(D128,TFC!$B$22:$C$29,2,0)</f>
        <v>1</v>
      </c>
      <c r="N128">
        <f t="shared" si="9"/>
        <v>8.534782608695652</v>
      </c>
      <c r="O128" s="76">
        <f t="shared" si="10"/>
        <v>213.36956521739131</v>
      </c>
      <c r="P128" s="73">
        <f t="shared" si="11"/>
        <v>16002.717391304348</v>
      </c>
    </row>
    <row r="129" spans="1:16" ht="25.5" x14ac:dyDescent="0.2">
      <c r="A129" s="30" t="s">
        <v>152</v>
      </c>
      <c r="B129" s="30" t="str">
        <f t="shared" si="6"/>
        <v>Agenda Správcu výberu mýtaCRM-BO</v>
      </c>
      <c r="C129" s="30" t="s">
        <v>2</v>
      </c>
      <c r="D129" s="31" t="s">
        <v>155</v>
      </c>
      <c r="E129" s="32" t="s">
        <v>63</v>
      </c>
      <c r="F129" s="33" t="s">
        <v>34</v>
      </c>
      <c r="G129" s="30">
        <v>0</v>
      </c>
      <c r="H129">
        <f>VLOOKUP(E129,PIVOT!$B$4:$D$165,3,0)</f>
        <v>5</v>
      </c>
      <c r="I129">
        <f t="shared" si="7"/>
        <v>1</v>
      </c>
      <c r="J129">
        <f t="shared" si="8"/>
        <v>5</v>
      </c>
      <c r="K129" s="74">
        <f>VLOOKUP(B129,UAW!$D$13:$E$23,2,0)/COUNTIFS($A$3:$A$179,A129,$D$3:$D$179,D129)</f>
        <v>1.3043478260869565</v>
      </c>
      <c r="L129">
        <f>VLOOKUP(D129,ECF!$B$18:$C$25,2,0)</f>
        <v>0.75499999999999989</v>
      </c>
      <c r="M129">
        <f>VLOOKUP(D129,TFC!$B$22:$C$29,2,0)</f>
        <v>1</v>
      </c>
      <c r="N129">
        <f t="shared" si="9"/>
        <v>4.7597826086956516</v>
      </c>
      <c r="O129" s="76">
        <f t="shared" si="10"/>
        <v>118.99456521739128</v>
      </c>
      <c r="P129" s="73">
        <f t="shared" si="11"/>
        <v>8924.5923913043462</v>
      </c>
    </row>
    <row r="130" spans="1:16" x14ac:dyDescent="0.2">
      <c r="A130" s="30" t="s">
        <v>152</v>
      </c>
      <c r="B130" s="30" t="str">
        <f t="shared" si="6"/>
        <v>Agenda Správcu výberu mýtaCRM-BO</v>
      </c>
      <c r="C130" s="30" t="s">
        <v>2</v>
      </c>
      <c r="D130" s="31" t="s">
        <v>155</v>
      </c>
      <c r="E130" s="32" t="s">
        <v>102</v>
      </c>
      <c r="F130" s="33" t="s">
        <v>34</v>
      </c>
      <c r="G130" s="30">
        <v>0</v>
      </c>
      <c r="H130">
        <f>VLOOKUP(E130,PIVOT!$B$4:$D$165,3,0)</f>
        <v>5</v>
      </c>
      <c r="I130">
        <f t="shared" si="7"/>
        <v>1</v>
      </c>
      <c r="J130">
        <f t="shared" si="8"/>
        <v>5</v>
      </c>
      <c r="K130" s="74">
        <f>VLOOKUP(B130,UAW!$D$13:$E$23,2,0)/COUNTIFS($A$3:$A$179,A130,$D$3:$D$179,D130)</f>
        <v>1.3043478260869565</v>
      </c>
      <c r="L130">
        <f>VLOOKUP(D130,ECF!$B$18:$C$25,2,0)</f>
        <v>0.75499999999999989</v>
      </c>
      <c r="M130">
        <f>VLOOKUP(D130,TFC!$B$22:$C$29,2,0)</f>
        <v>1</v>
      </c>
      <c r="N130">
        <f t="shared" si="9"/>
        <v>4.7597826086956516</v>
      </c>
      <c r="O130" s="76">
        <f t="shared" si="10"/>
        <v>118.99456521739128</v>
      </c>
      <c r="P130" s="73">
        <f t="shared" si="11"/>
        <v>8924.5923913043462</v>
      </c>
    </row>
    <row r="131" spans="1:16" x14ac:dyDescent="0.2">
      <c r="A131" s="30" t="s">
        <v>152</v>
      </c>
      <c r="B131" s="30" t="str">
        <f t="shared" si="6"/>
        <v>Agenda Správcu výberu mýtaCRM-BO</v>
      </c>
      <c r="C131" s="30" t="s">
        <v>2</v>
      </c>
      <c r="D131" s="31" t="s">
        <v>155</v>
      </c>
      <c r="E131" s="32" t="s">
        <v>104</v>
      </c>
      <c r="F131" s="33" t="s">
        <v>34</v>
      </c>
      <c r="G131" s="30">
        <v>4</v>
      </c>
      <c r="H131">
        <f>VLOOKUP(E131,PIVOT!$B$4:$D$165,3,0)</f>
        <v>10</v>
      </c>
      <c r="I131">
        <f t="shared" si="7"/>
        <v>4</v>
      </c>
      <c r="J131">
        <f t="shared" si="8"/>
        <v>40</v>
      </c>
      <c r="K131" s="74">
        <f>VLOOKUP(B131,UAW!$D$13:$E$23,2,0)/COUNTIFS($A$3:$A$179,A131,$D$3:$D$179,D131)</f>
        <v>1.3043478260869565</v>
      </c>
      <c r="L131">
        <f>VLOOKUP(D131,ECF!$B$18:$C$25,2,0)</f>
        <v>0.75499999999999989</v>
      </c>
      <c r="M131">
        <f>VLOOKUP(D131,TFC!$B$22:$C$29,2,0)</f>
        <v>1</v>
      </c>
      <c r="N131">
        <f t="shared" si="9"/>
        <v>31.184782608695645</v>
      </c>
      <c r="O131" s="76">
        <f t="shared" si="10"/>
        <v>779.61956521739114</v>
      </c>
      <c r="P131" s="73">
        <f t="shared" si="11"/>
        <v>58471.467391304337</v>
      </c>
    </row>
    <row r="132" spans="1:16" x14ac:dyDescent="0.2">
      <c r="A132" s="30" t="s">
        <v>152</v>
      </c>
      <c r="B132" s="30" t="str">
        <f t="shared" ref="B132:B179" si="12">A132&amp;D132</f>
        <v>Agenda Správcu výberu mýtaCRM-BO</v>
      </c>
      <c r="C132" s="30" t="s">
        <v>2</v>
      </c>
      <c r="D132" s="31" t="s">
        <v>155</v>
      </c>
      <c r="E132" s="32" t="s">
        <v>65</v>
      </c>
      <c r="F132" s="33" t="s">
        <v>34</v>
      </c>
      <c r="G132" s="30">
        <v>4</v>
      </c>
      <c r="H132">
        <f>VLOOKUP(E132,PIVOT!$B$4:$D$165,3,0)</f>
        <v>5</v>
      </c>
      <c r="I132">
        <f t="shared" ref="I132:I179" si="13">IF(G132=0,1,G132)</f>
        <v>4</v>
      </c>
      <c r="J132">
        <f t="shared" ref="J132:J179" si="14">H132*I132</f>
        <v>20</v>
      </c>
      <c r="K132" s="74">
        <f>VLOOKUP(B132,UAW!$D$13:$E$23,2,0)/COUNTIFS($A$3:$A$179,A132,$D$3:$D$179,D132)</f>
        <v>1.3043478260869565</v>
      </c>
      <c r="L132">
        <f>VLOOKUP(D132,ECF!$B$18:$C$25,2,0)</f>
        <v>0.75499999999999989</v>
      </c>
      <c r="M132">
        <f>VLOOKUP(D132,TFC!$B$22:$C$29,2,0)</f>
        <v>1</v>
      </c>
      <c r="N132">
        <f t="shared" ref="N132:N179" si="15">(J132+K132)*L132*M132</f>
        <v>16.084782608695651</v>
      </c>
      <c r="O132" s="76">
        <f t="shared" ref="O132:O150" si="16">N132*$S$3</f>
        <v>402.11956521739125</v>
      </c>
      <c r="P132" s="73">
        <f t="shared" ref="P132:P179" si="17">O132*$R$3</f>
        <v>30158.967391304344</v>
      </c>
    </row>
    <row r="133" spans="1:16" x14ac:dyDescent="0.2">
      <c r="A133" s="30" t="s">
        <v>152</v>
      </c>
      <c r="B133" s="30" t="str">
        <f t="shared" si="12"/>
        <v>Agenda Správcu výberu mýtaCRM-BO</v>
      </c>
      <c r="C133" s="30" t="s">
        <v>2</v>
      </c>
      <c r="D133" s="31" t="s">
        <v>155</v>
      </c>
      <c r="E133" s="32" t="s">
        <v>66</v>
      </c>
      <c r="F133" s="33" t="s">
        <v>34</v>
      </c>
      <c r="G133" s="30">
        <v>4</v>
      </c>
      <c r="H133">
        <f>VLOOKUP(E133,PIVOT!$B$4:$D$165,3,0)</f>
        <v>10</v>
      </c>
      <c r="I133">
        <f t="shared" si="13"/>
        <v>4</v>
      </c>
      <c r="J133">
        <f t="shared" si="14"/>
        <v>40</v>
      </c>
      <c r="K133" s="74">
        <f>VLOOKUP(B133,UAW!$D$13:$E$23,2,0)/COUNTIFS($A$3:$A$179,A133,$D$3:$D$179,D133)</f>
        <v>1.3043478260869565</v>
      </c>
      <c r="L133">
        <f>VLOOKUP(D133,ECF!$B$18:$C$25,2,0)</f>
        <v>0.75499999999999989</v>
      </c>
      <c r="M133">
        <f>VLOOKUP(D133,TFC!$B$22:$C$29,2,0)</f>
        <v>1</v>
      </c>
      <c r="N133">
        <f t="shared" si="15"/>
        <v>31.184782608695645</v>
      </c>
      <c r="O133" s="76">
        <f t="shared" si="16"/>
        <v>779.61956521739114</v>
      </c>
      <c r="P133" s="73">
        <f t="shared" si="17"/>
        <v>58471.467391304337</v>
      </c>
    </row>
    <row r="134" spans="1:16" x14ac:dyDescent="0.2">
      <c r="A134" s="30" t="s">
        <v>152</v>
      </c>
      <c r="B134" s="30" t="str">
        <f t="shared" si="12"/>
        <v>Agenda Správcu výberu mýtaCRM-BO</v>
      </c>
      <c r="C134" s="30" t="s">
        <v>2</v>
      </c>
      <c r="D134" s="31" t="s">
        <v>155</v>
      </c>
      <c r="E134" s="32" t="s">
        <v>76</v>
      </c>
      <c r="F134" s="33" t="s">
        <v>34</v>
      </c>
      <c r="G134" s="30">
        <v>2</v>
      </c>
      <c r="H134">
        <f>VLOOKUP(E134,PIVOT!$B$4:$D$165,3,0)</f>
        <v>5</v>
      </c>
      <c r="I134">
        <f t="shared" si="13"/>
        <v>2</v>
      </c>
      <c r="J134">
        <f t="shared" si="14"/>
        <v>10</v>
      </c>
      <c r="K134" s="74">
        <f>VLOOKUP(B134,UAW!$D$13:$E$23,2,0)/COUNTIFS($A$3:$A$179,A134,$D$3:$D$179,D134)</f>
        <v>1.3043478260869565</v>
      </c>
      <c r="L134">
        <f>VLOOKUP(D134,ECF!$B$18:$C$25,2,0)</f>
        <v>0.75499999999999989</v>
      </c>
      <c r="M134">
        <f>VLOOKUP(D134,TFC!$B$22:$C$29,2,0)</f>
        <v>1</v>
      </c>
      <c r="N134">
        <f t="shared" si="15"/>
        <v>8.534782608695652</v>
      </c>
      <c r="O134" s="76">
        <f t="shared" si="16"/>
        <v>213.36956521739131</v>
      </c>
      <c r="P134" s="73">
        <f t="shared" si="17"/>
        <v>16002.717391304348</v>
      </c>
    </row>
    <row r="135" spans="1:16" x14ac:dyDescent="0.2">
      <c r="A135" s="30" t="s">
        <v>152</v>
      </c>
      <c r="B135" s="30" t="str">
        <f t="shared" si="12"/>
        <v>Agenda Správcu výberu mýtaCRM-BO</v>
      </c>
      <c r="C135" s="30" t="s">
        <v>2</v>
      </c>
      <c r="D135" s="31" t="s">
        <v>155</v>
      </c>
      <c r="E135" s="32" t="s">
        <v>74</v>
      </c>
      <c r="F135" s="33" t="s">
        <v>34</v>
      </c>
      <c r="G135" s="30">
        <v>0</v>
      </c>
      <c r="H135">
        <f>VLOOKUP(E135,PIVOT!$B$4:$D$165,3,0)</f>
        <v>5</v>
      </c>
      <c r="I135">
        <f t="shared" si="13"/>
        <v>1</v>
      </c>
      <c r="J135">
        <f t="shared" si="14"/>
        <v>5</v>
      </c>
      <c r="K135" s="74">
        <f>VLOOKUP(B135,UAW!$D$13:$E$23,2,0)/COUNTIFS($A$3:$A$179,A135,$D$3:$D$179,D135)</f>
        <v>1.3043478260869565</v>
      </c>
      <c r="L135">
        <f>VLOOKUP(D135,ECF!$B$18:$C$25,2,0)</f>
        <v>0.75499999999999989</v>
      </c>
      <c r="M135">
        <f>VLOOKUP(D135,TFC!$B$22:$C$29,2,0)</f>
        <v>1</v>
      </c>
      <c r="N135">
        <f t="shared" si="15"/>
        <v>4.7597826086956516</v>
      </c>
      <c r="O135" s="76">
        <f t="shared" si="16"/>
        <v>118.99456521739128</v>
      </c>
      <c r="P135" s="73">
        <f t="shared" si="17"/>
        <v>8924.5923913043462</v>
      </c>
    </row>
    <row r="136" spans="1:16" ht="25.5" x14ac:dyDescent="0.2">
      <c r="A136" s="30" t="s">
        <v>152</v>
      </c>
      <c r="B136" s="30" t="str">
        <f t="shared" si="12"/>
        <v>Agenda Správcu výberu mýtaCRM-BO</v>
      </c>
      <c r="C136" s="30" t="s">
        <v>2</v>
      </c>
      <c r="D136" s="31" t="s">
        <v>155</v>
      </c>
      <c r="E136" s="32" t="s">
        <v>75</v>
      </c>
      <c r="F136" s="33" t="s">
        <v>34</v>
      </c>
      <c r="G136" s="30">
        <v>0</v>
      </c>
      <c r="H136">
        <f>VLOOKUP(E136,PIVOT!$B$4:$D$165,3,0)</f>
        <v>5</v>
      </c>
      <c r="I136">
        <f t="shared" si="13"/>
        <v>1</v>
      </c>
      <c r="J136">
        <f t="shared" si="14"/>
        <v>5</v>
      </c>
      <c r="K136" s="74">
        <f>VLOOKUP(B136,UAW!$D$13:$E$23,2,0)/COUNTIFS($A$3:$A$179,A136,$D$3:$D$179,D136)</f>
        <v>1.3043478260869565</v>
      </c>
      <c r="L136">
        <f>VLOOKUP(D136,ECF!$B$18:$C$25,2,0)</f>
        <v>0.75499999999999989</v>
      </c>
      <c r="M136">
        <f>VLOOKUP(D136,TFC!$B$22:$C$29,2,0)</f>
        <v>1</v>
      </c>
      <c r="N136">
        <f t="shared" si="15"/>
        <v>4.7597826086956516</v>
      </c>
      <c r="O136" s="76">
        <f t="shared" si="16"/>
        <v>118.99456521739128</v>
      </c>
      <c r="P136" s="73">
        <f t="shared" si="17"/>
        <v>8924.5923913043462</v>
      </c>
    </row>
    <row r="137" spans="1:16" x14ac:dyDescent="0.2">
      <c r="A137" s="30" t="s">
        <v>152</v>
      </c>
      <c r="B137" s="30" t="str">
        <f t="shared" si="12"/>
        <v>Agenda Správcu výberu mýtaCRM-BO</v>
      </c>
      <c r="C137" s="30" t="s">
        <v>2</v>
      </c>
      <c r="D137" s="31" t="s">
        <v>155</v>
      </c>
      <c r="E137" s="32" t="s">
        <v>85</v>
      </c>
      <c r="F137" s="33" t="s">
        <v>34</v>
      </c>
      <c r="G137" s="30">
        <v>1</v>
      </c>
      <c r="H137">
        <f>VLOOKUP(E137,PIVOT!$B$4:$D$165,3,0)</f>
        <v>5</v>
      </c>
      <c r="I137">
        <f t="shared" si="13"/>
        <v>1</v>
      </c>
      <c r="J137">
        <f t="shared" si="14"/>
        <v>5</v>
      </c>
      <c r="K137" s="74">
        <f>VLOOKUP(B137,UAW!$D$13:$E$23,2,0)/COUNTIFS($A$3:$A$179,A137,$D$3:$D$179,D137)</f>
        <v>1.3043478260869565</v>
      </c>
      <c r="L137">
        <f>VLOOKUP(D137,ECF!$B$18:$C$25,2,0)</f>
        <v>0.75499999999999989</v>
      </c>
      <c r="M137">
        <f>VLOOKUP(D137,TFC!$B$22:$C$29,2,0)</f>
        <v>1</v>
      </c>
      <c r="N137">
        <f t="shared" si="15"/>
        <v>4.7597826086956516</v>
      </c>
      <c r="O137" s="76">
        <f t="shared" si="16"/>
        <v>118.99456521739128</v>
      </c>
      <c r="P137" s="73">
        <f t="shared" si="17"/>
        <v>8924.5923913043462</v>
      </c>
    </row>
    <row r="138" spans="1:16" x14ac:dyDescent="0.2">
      <c r="A138" s="30" t="s">
        <v>152</v>
      </c>
      <c r="B138" s="30" t="str">
        <f t="shared" si="12"/>
        <v>Agenda Správcu výberu mýtaCRM-BO</v>
      </c>
      <c r="C138" s="30" t="s">
        <v>2</v>
      </c>
      <c r="D138" s="31" t="s">
        <v>155</v>
      </c>
      <c r="E138" s="32" t="s">
        <v>77</v>
      </c>
      <c r="F138" s="33" t="s">
        <v>34</v>
      </c>
      <c r="G138" s="30">
        <v>1</v>
      </c>
      <c r="H138">
        <f>VLOOKUP(E138,PIVOT!$B$4:$D$165,3,0)</f>
        <v>10</v>
      </c>
      <c r="I138">
        <f t="shared" si="13"/>
        <v>1</v>
      </c>
      <c r="J138">
        <f t="shared" si="14"/>
        <v>10</v>
      </c>
      <c r="K138" s="74">
        <f>VLOOKUP(B138,UAW!$D$13:$E$23,2,0)/COUNTIFS($A$3:$A$179,A138,$D$3:$D$179,D138)</f>
        <v>1.3043478260869565</v>
      </c>
      <c r="L138">
        <f>VLOOKUP(D138,ECF!$B$18:$C$25,2,0)</f>
        <v>0.75499999999999989</v>
      </c>
      <c r="M138">
        <f>VLOOKUP(D138,TFC!$B$22:$C$29,2,0)</f>
        <v>1</v>
      </c>
      <c r="N138">
        <f t="shared" si="15"/>
        <v>8.534782608695652</v>
      </c>
      <c r="O138" s="76">
        <f t="shared" si="16"/>
        <v>213.36956521739131</v>
      </c>
      <c r="P138" s="73">
        <f t="shared" si="17"/>
        <v>16002.717391304348</v>
      </c>
    </row>
    <row r="139" spans="1:16" x14ac:dyDescent="0.2">
      <c r="A139" s="30" t="s">
        <v>152</v>
      </c>
      <c r="B139" s="30" t="str">
        <f t="shared" si="12"/>
        <v>Agenda Správcu výberu mýtaCRM-BO</v>
      </c>
      <c r="C139" s="30" t="s">
        <v>2</v>
      </c>
      <c r="D139" s="31" t="s">
        <v>155</v>
      </c>
      <c r="E139" s="32" t="s">
        <v>52</v>
      </c>
      <c r="F139" s="33" t="s">
        <v>34</v>
      </c>
      <c r="G139" s="30">
        <v>4</v>
      </c>
      <c r="H139">
        <f>VLOOKUP(E139,PIVOT!$B$4:$D$165,3,0)</f>
        <v>10</v>
      </c>
      <c r="I139">
        <f t="shared" si="13"/>
        <v>4</v>
      </c>
      <c r="J139">
        <f t="shared" si="14"/>
        <v>40</v>
      </c>
      <c r="K139" s="74">
        <f>VLOOKUP(B139,UAW!$D$13:$E$23,2,0)/COUNTIFS($A$3:$A$179,A139,$D$3:$D$179,D139)</f>
        <v>1.3043478260869565</v>
      </c>
      <c r="L139">
        <f>VLOOKUP(D139,ECF!$B$18:$C$25,2,0)</f>
        <v>0.75499999999999989</v>
      </c>
      <c r="M139">
        <f>VLOOKUP(D139,TFC!$B$22:$C$29,2,0)</f>
        <v>1</v>
      </c>
      <c r="N139">
        <f t="shared" si="15"/>
        <v>31.184782608695645</v>
      </c>
      <c r="O139" s="76">
        <f t="shared" si="16"/>
        <v>779.61956521739114</v>
      </c>
      <c r="P139" s="73">
        <f t="shared" si="17"/>
        <v>58471.467391304337</v>
      </c>
    </row>
    <row r="140" spans="1:16" x14ac:dyDescent="0.2">
      <c r="A140" s="30" t="s">
        <v>152</v>
      </c>
      <c r="B140" s="30" t="str">
        <f t="shared" si="12"/>
        <v>Agenda Správcu výberu mýtaCRM-BO</v>
      </c>
      <c r="C140" s="30" t="s">
        <v>2</v>
      </c>
      <c r="D140" s="31" t="s">
        <v>155</v>
      </c>
      <c r="E140" s="32" t="s">
        <v>81</v>
      </c>
      <c r="F140" s="33" t="s">
        <v>34</v>
      </c>
      <c r="G140" s="30">
        <v>0</v>
      </c>
      <c r="H140">
        <f>VLOOKUP(E140,PIVOT!$B$4:$D$165,3,0)</f>
        <v>10</v>
      </c>
      <c r="I140">
        <f t="shared" si="13"/>
        <v>1</v>
      </c>
      <c r="J140">
        <f t="shared" si="14"/>
        <v>10</v>
      </c>
      <c r="K140" s="74">
        <f>VLOOKUP(B140,UAW!$D$13:$E$23,2,0)/COUNTIFS($A$3:$A$179,A140,$D$3:$D$179,D140)</f>
        <v>1.3043478260869565</v>
      </c>
      <c r="L140">
        <f>VLOOKUP(D140,ECF!$B$18:$C$25,2,0)</f>
        <v>0.75499999999999989</v>
      </c>
      <c r="M140">
        <f>VLOOKUP(D140,TFC!$B$22:$C$29,2,0)</f>
        <v>1</v>
      </c>
      <c r="N140">
        <f t="shared" si="15"/>
        <v>8.534782608695652</v>
      </c>
      <c r="O140" s="76">
        <f t="shared" si="16"/>
        <v>213.36956521739131</v>
      </c>
      <c r="P140" s="73">
        <f t="shared" si="17"/>
        <v>16002.717391304348</v>
      </c>
    </row>
    <row r="141" spans="1:16" x14ac:dyDescent="0.2">
      <c r="A141" s="30" t="s">
        <v>152</v>
      </c>
      <c r="B141" s="30" t="str">
        <f t="shared" si="12"/>
        <v>Agenda Správcu výberu mýtaCRM-BO</v>
      </c>
      <c r="C141" s="30" t="s">
        <v>2</v>
      </c>
      <c r="D141" s="31" t="s">
        <v>155</v>
      </c>
      <c r="E141" s="32" t="s">
        <v>27</v>
      </c>
      <c r="F141" s="33" t="s">
        <v>34</v>
      </c>
      <c r="G141" s="30">
        <v>4</v>
      </c>
      <c r="H141">
        <f>VLOOKUP(E141,PIVOT!$B$4:$D$165,3,0)</f>
        <v>10</v>
      </c>
      <c r="I141">
        <f t="shared" si="13"/>
        <v>4</v>
      </c>
      <c r="J141">
        <f t="shared" si="14"/>
        <v>40</v>
      </c>
      <c r="K141" s="74">
        <f>VLOOKUP(B141,UAW!$D$13:$E$23,2,0)/COUNTIFS($A$3:$A$179,A141,$D$3:$D$179,D141)</f>
        <v>1.3043478260869565</v>
      </c>
      <c r="L141">
        <f>VLOOKUP(D141,ECF!$B$18:$C$25,2,0)</f>
        <v>0.75499999999999989</v>
      </c>
      <c r="M141">
        <f>VLOOKUP(D141,TFC!$B$22:$C$29,2,0)</f>
        <v>1</v>
      </c>
      <c r="N141">
        <f t="shared" si="15"/>
        <v>31.184782608695645</v>
      </c>
      <c r="O141" s="76">
        <f t="shared" si="16"/>
        <v>779.61956521739114</v>
      </c>
      <c r="P141" s="73">
        <f t="shared" si="17"/>
        <v>58471.467391304337</v>
      </c>
    </row>
    <row r="142" spans="1:16" x14ac:dyDescent="0.2">
      <c r="A142" s="30" t="s">
        <v>152</v>
      </c>
      <c r="B142" s="30" t="str">
        <f t="shared" si="12"/>
        <v>Agenda Správcu výberu mýtaCRM-BO</v>
      </c>
      <c r="C142" s="30" t="s">
        <v>2</v>
      </c>
      <c r="D142" s="31" t="s">
        <v>155</v>
      </c>
      <c r="E142" s="32" t="s">
        <v>54</v>
      </c>
      <c r="F142" s="33" t="s">
        <v>34</v>
      </c>
      <c r="G142" s="30">
        <v>0</v>
      </c>
      <c r="H142">
        <f>VLOOKUP(E142,PIVOT!$B$4:$D$165,3,0)</f>
        <v>15</v>
      </c>
      <c r="I142">
        <f t="shared" si="13"/>
        <v>1</v>
      </c>
      <c r="J142">
        <f t="shared" si="14"/>
        <v>15</v>
      </c>
      <c r="K142" s="74">
        <f>VLOOKUP(B142,UAW!$D$13:$E$23,2,0)/COUNTIFS($A$3:$A$179,A142,$D$3:$D$179,D142)</f>
        <v>1.3043478260869565</v>
      </c>
      <c r="L142">
        <f>VLOOKUP(D142,ECF!$B$18:$C$25,2,0)</f>
        <v>0.75499999999999989</v>
      </c>
      <c r="M142">
        <f>VLOOKUP(D142,TFC!$B$22:$C$29,2,0)</f>
        <v>1</v>
      </c>
      <c r="N142">
        <f t="shared" si="15"/>
        <v>12.309782608695651</v>
      </c>
      <c r="O142" s="76">
        <f t="shared" si="16"/>
        <v>307.74456521739125</v>
      </c>
      <c r="P142" s="73">
        <f t="shared" si="17"/>
        <v>23080.842391304344</v>
      </c>
    </row>
    <row r="143" spans="1:16" x14ac:dyDescent="0.2">
      <c r="A143" s="30" t="s">
        <v>152</v>
      </c>
      <c r="B143" s="30" t="str">
        <f t="shared" si="12"/>
        <v>Agenda Správcu výberu mýtaCRM-BO</v>
      </c>
      <c r="C143" s="30" t="s">
        <v>2</v>
      </c>
      <c r="D143" s="31" t="s">
        <v>155</v>
      </c>
      <c r="E143" s="32" t="s">
        <v>55</v>
      </c>
      <c r="F143" s="33" t="s">
        <v>34</v>
      </c>
      <c r="G143" s="30">
        <v>0</v>
      </c>
      <c r="H143">
        <f>VLOOKUP(E143,PIVOT!$B$4:$D$165,3,0)</f>
        <v>15</v>
      </c>
      <c r="I143">
        <f t="shared" si="13"/>
        <v>1</v>
      </c>
      <c r="J143">
        <f t="shared" si="14"/>
        <v>15</v>
      </c>
      <c r="K143" s="74">
        <f>VLOOKUP(B143,UAW!$D$13:$E$23,2,0)/COUNTIFS($A$3:$A$179,A143,$D$3:$D$179,D143)</f>
        <v>1.3043478260869565</v>
      </c>
      <c r="L143">
        <f>VLOOKUP(D143,ECF!$B$18:$C$25,2,0)</f>
        <v>0.75499999999999989</v>
      </c>
      <c r="M143">
        <f>VLOOKUP(D143,TFC!$B$22:$C$29,2,0)</f>
        <v>1</v>
      </c>
      <c r="N143">
        <f t="shared" si="15"/>
        <v>12.309782608695651</v>
      </c>
      <c r="O143" s="76">
        <f t="shared" si="16"/>
        <v>307.74456521739125</v>
      </c>
      <c r="P143" s="73">
        <f t="shared" si="17"/>
        <v>23080.842391304344</v>
      </c>
    </row>
    <row r="144" spans="1:16" x14ac:dyDescent="0.2">
      <c r="A144" s="30" t="s">
        <v>152</v>
      </c>
      <c r="B144" s="30" t="str">
        <f t="shared" si="12"/>
        <v>Agenda Správcu výberu mýtaCRM-BO</v>
      </c>
      <c r="C144" s="30" t="s">
        <v>2</v>
      </c>
      <c r="D144" s="31" t="s">
        <v>155</v>
      </c>
      <c r="E144" s="32" t="s">
        <v>86</v>
      </c>
      <c r="F144" s="33" t="s">
        <v>34</v>
      </c>
      <c r="G144" s="30">
        <v>0</v>
      </c>
      <c r="H144">
        <f>VLOOKUP(E144,PIVOT!$B$4:$D$165,3,0)</f>
        <v>5</v>
      </c>
      <c r="I144">
        <f t="shared" si="13"/>
        <v>1</v>
      </c>
      <c r="J144">
        <f t="shared" si="14"/>
        <v>5</v>
      </c>
      <c r="K144" s="74">
        <f>VLOOKUP(B144,UAW!$D$13:$E$23,2,0)/COUNTIFS($A$3:$A$179,A144,$D$3:$D$179,D144)</f>
        <v>1.3043478260869565</v>
      </c>
      <c r="L144">
        <f>VLOOKUP(D144,ECF!$B$18:$C$25,2,0)</f>
        <v>0.75499999999999989</v>
      </c>
      <c r="M144">
        <f>VLOOKUP(D144,TFC!$B$22:$C$29,2,0)</f>
        <v>1</v>
      </c>
      <c r="N144">
        <f t="shared" si="15"/>
        <v>4.7597826086956516</v>
      </c>
      <c r="O144" s="76">
        <f t="shared" si="16"/>
        <v>118.99456521739128</v>
      </c>
      <c r="P144" s="73">
        <f t="shared" si="17"/>
        <v>8924.5923913043462</v>
      </c>
    </row>
    <row r="145" spans="1:16" x14ac:dyDescent="0.2">
      <c r="A145" s="30" t="s">
        <v>152</v>
      </c>
      <c r="B145" s="30" t="str">
        <f t="shared" si="12"/>
        <v>Agenda Správcu výberu mýtaCRM-BO</v>
      </c>
      <c r="C145" s="30" t="s">
        <v>2</v>
      </c>
      <c r="D145" s="31" t="s">
        <v>155</v>
      </c>
      <c r="E145" s="32" t="s">
        <v>56</v>
      </c>
      <c r="F145" s="33" t="s">
        <v>34</v>
      </c>
      <c r="G145" s="30">
        <v>4</v>
      </c>
      <c r="H145">
        <f>VLOOKUP(E145,PIVOT!$B$4:$D$165,3,0)</f>
        <v>10</v>
      </c>
      <c r="I145">
        <f t="shared" si="13"/>
        <v>4</v>
      </c>
      <c r="J145">
        <f t="shared" si="14"/>
        <v>40</v>
      </c>
      <c r="K145" s="74">
        <f>VLOOKUP(B145,UAW!$D$13:$E$23,2,0)/COUNTIFS($A$3:$A$179,A145,$D$3:$D$179,D145)</f>
        <v>1.3043478260869565</v>
      </c>
      <c r="L145">
        <f>VLOOKUP(D145,ECF!$B$18:$C$25,2,0)</f>
        <v>0.75499999999999989</v>
      </c>
      <c r="M145">
        <f>VLOOKUP(D145,TFC!$B$22:$C$29,2,0)</f>
        <v>1</v>
      </c>
      <c r="N145">
        <f t="shared" si="15"/>
        <v>31.184782608695645</v>
      </c>
      <c r="O145" s="76">
        <f t="shared" si="16"/>
        <v>779.61956521739114</v>
      </c>
      <c r="P145" s="73">
        <f t="shared" si="17"/>
        <v>58471.467391304337</v>
      </c>
    </row>
    <row r="146" spans="1:16" ht="25.5" x14ac:dyDescent="0.2">
      <c r="A146" s="30" t="s">
        <v>152</v>
      </c>
      <c r="B146" s="30" t="str">
        <f t="shared" si="12"/>
        <v>Agenda Správcu výberu mýtaCRM-BO</v>
      </c>
      <c r="C146" s="30" t="s">
        <v>2</v>
      </c>
      <c r="D146" s="31" t="s">
        <v>155</v>
      </c>
      <c r="E146" s="32" t="s">
        <v>87</v>
      </c>
      <c r="F146" s="33" t="s">
        <v>34</v>
      </c>
      <c r="G146" s="30">
        <v>4</v>
      </c>
      <c r="H146">
        <f>VLOOKUP(E146,PIVOT!$B$4:$D$165,3,0)</f>
        <v>10</v>
      </c>
      <c r="I146">
        <f t="shared" si="13"/>
        <v>4</v>
      </c>
      <c r="J146">
        <f t="shared" si="14"/>
        <v>40</v>
      </c>
      <c r="K146" s="74">
        <f>VLOOKUP(B146,UAW!$D$13:$E$23,2,0)/COUNTIFS($A$3:$A$179,A146,$D$3:$D$179,D146)</f>
        <v>1.3043478260869565</v>
      </c>
      <c r="L146">
        <f>VLOOKUP(D146,ECF!$B$18:$C$25,2,0)</f>
        <v>0.75499999999999989</v>
      </c>
      <c r="M146">
        <f>VLOOKUP(D146,TFC!$B$22:$C$29,2,0)</f>
        <v>1</v>
      </c>
      <c r="N146">
        <f t="shared" si="15"/>
        <v>31.184782608695645</v>
      </c>
      <c r="O146" s="76">
        <f t="shared" si="16"/>
        <v>779.61956521739114</v>
      </c>
      <c r="P146" s="73">
        <f t="shared" si="17"/>
        <v>58471.467391304337</v>
      </c>
    </row>
    <row r="147" spans="1:16" x14ac:dyDescent="0.2">
      <c r="A147" s="30" t="s">
        <v>152</v>
      </c>
      <c r="B147" s="30" t="str">
        <f t="shared" si="12"/>
        <v>Agenda Správcu výberu mýtaCRM-BO</v>
      </c>
      <c r="C147" s="30" t="s">
        <v>2</v>
      </c>
      <c r="D147" s="31" t="s">
        <v>155</v>
      </c>
      <c r="E147" s="32" t="s">
        <v>91</v>
      </c>
      <c r="F147" s="33" t="s">
        <v>34</v>
      </c>
      <c r="G147" s="30">
        <v>4</v>
      </c>
      <c r="H147">
        <f>VLOOKUP(E147,PIVOT!$B$4:$D$165,3,0)</f>
        <v>10</v>
      </c>
      <c r="I147">
        <f t="shared" si="13"/>
        <v>4</v>
      </c>
      <c r="J147">
        <f t="shared" si="14"/>
        <v>40</v>
      </c>
      <c r="K147" s="74">
        <f>VLOOKUP(B147,UAW!$D$13:$E$23,2,0)/COUNTIFS($A$3:$A$179,A147,$D$3:$D$179,D147)</f>
        <v>1.3043478260869565</v>
      </c>
      <c r="L147">
        <f>VLOOKUP(D147,ECF!$B$18:$C$25,2,0)</f>
        <v>0.75499999999999989</v>
      </c>
      <c r="M147">
        <f>VLOOKUP(D147,TFC!$B$22:$C$29,2,0)</f>
        <v>1</v>
      </c>
      <c r="N147">
        <f t="shared" si="15"/>
        <v>31.184782608695645</v>
      </c>
      <c r="O147" s="76">
        <f t="shared" si="16"/>
        <v>779.61956521739114</v>
      </c>
      <c r="P147" s="73">
        <f t="shared" si="17"/>
        <v>58471.467391304337</v>
      </c>
    </row>
    <row r="148" spans="1:16" x14ac:dyDescent="0.2">
      <c r="A148" s="30" t="s">
        <v>152</v>
      </c>
      <c r="B148" s="30" t="str">
        <f t="shared" si="12"/>
        <v>Agenda Správcu výberu mýtaCRM-BO</v>
      </c>
      <c r="C148" s="30" t="s">
        <v>2</v>
      </c>
      <c r="D148" s="31" t="s">
        <v>155</v>
      </c>
      <c r="E148" s="32" t="s">
        <v>84</v>
      </c>
      <c r="F148" s="33" t="s">
        <v>34</v>
      </c>
      <c r="G148" s="30">
        <v>4</v>
      </c>
      <c r="H148">
        <f>VLOOKUP(E148,PIVOT!$B$4:$D$165,3,0)</f>
        <v>10</v>
      </c>
      <c r="I148">
        <f t="shared" si="13"/>
        <v>4</v>
      </c>
      <c r="J148">
        <f t="shared" si="14"/>
        <v>40</v>
      </c>
      <c r="K148" s="74">
        <f>VLOOKUP(B148,UAW!$D$13:$E$23,2,0)/COUNTIFS($A$3:$A$179,A148,$D$3:$D$179,D148)</f>
        <v>1.3043478260869565</v>
      </c>
      <c r="L148">
        <f>VLOOKUP(D148,ECF!$B$18:$C$25,2,0)</f>
        <v>0.75499999999999989</v>
      </c>
      <c r="M148">
        <f>VLOOKUP(D148,TFC!$B$22:$C$29,2,0)</f>
        <v>1</v>
      </c>
      <c r="N148">
        <f t="shared" si="15"/>
        <v>31.184782608695645</v>
      </c>
      <c r="O148" s="76">
        <f t="shared" si="16"/>
        <v>779.61956521739114</v>
      </c>
      <c r="P148" s="73">
        <f t="shared" si="17"/>
        <v>58471.467391304337</v>
      </c>
    </row>
    <row r="149" spans="1:16" ht="25.5" x14ac:dyDescent="0.2">
      <c r="A149" s="30" t="s">
        <v>152</v>
      </c>
      <c r="B149" s="30" t="str">
        <f t="shared" si="12"/>
        <v>Agenda Správcu výberu mýtaCRM-BO</v>
      </c>
      <c r="C149" s="30" t="s">
        <v>2</v>
      </c>
      <c r="D149" s="31" t="s">
        <v>155</v>
      </c>
      <c r="E149" s="32" t="s">
        <v>99</v>
      </c>
      <c r="F149" s="33" t="s">
        <v>34</v>
      </c>
      <c r="G149" s="30">
        <v>4</v>
      </c>
      <c r="H149">
        <f>VLOOKUP(E149,PIVOT!$B$4:$D$165,3,0)</f>
        <v>10</v>
      </c>
      <c r="I149">
        <f t="shared" si="13"/>
        <v>4</v>
      </c>
      <c r="J149">
        <f t="shared" si="14"/>
        <v>40</v>
      </c>
      <c r="K149" s="74">
        <f>VLOOKUP(B149,UAW!$D$13:$E$23,2,0)/COUNTIFS($A$3:$A$179,A149,$D$3:$D$179,D149)</f>
        <v>1.3043478260869565</v>
      </c>
      <c r="L149">
        <f>VLOOKUP(D149,ECF!$B$18:$C$25,2,0)</f>
        <v>0.75499999999999989</v>
      </c>
      <c r="M149">
        <f>VLOOKUP(D149,TFC!$B$22:$C$29,2,0)</f>
        <v>1</v>
      </c>
      <c r="N149">
        <f t="shared" si="15"/>
        <v>31.184782608695645</v>
      </c>
      <c r="O149" s="76">
        <f t="shared" si="16"/>
        <v>779.61956521739114</v>
      </c>
      <c r="P149" s="73">
        <f t="shared" si="17"/>
        <v>58471.467391304337</v>
      </c>
    </row>
    <row r="150" spans="1:16" ht="25.5" x14ac:dyDescent="0.2">
      <c r="A150" s="30" t="s">
        <v>152</v>
      </c>
      <c r="B150" s="30" t="str">
        <f t="shared" si="12"/>
        <v>Agenda Správcu výberu mýtaCRM-BO</v>
      </c>
      <c r="C150" s="30" t="s">
        <v>2</v>
      </c>
      <c r="D150" s="31" t="s">
        <v>155</v>
      </c>
      <c r="E150" s="32" t="s">
        <v>100</v>
      </c>
      <c r="F150" s="33" t="s">
        <v>34</v>
      </c>
      <c r="G150" s="30">
        <v>4</v>
      </c>
      <c r="H150">
        <f>VLOOKUP(E150,PIVOT!$B$4:$D$165,3,0)</f>
        <v>10</v>
      </c>
      <c r="I150">
        <f t="shared" si="13"/>
        <v>4</v>
      </c>
      <c r="J150">
        <f t="shared" si="14"/>
        <v>40</v>
      </c>
      <c r="K150" s="74">
        <f>VLOOKUP(B150,UAW!$D$13:$E$23,2,0)/COUNTIFS($A$3:$A$179,A150,$D$3:$D$179,D150)</f>
        <v>1.3043478260869565</v>
      </c>
      <c r="L150">
        <f>VLOOKUP(D150,ECF!$B$18:$C$25,2,0)</f>
        <v>0.75499999999999989</v>
      </c>
      <c r="M150">
        <f>VLOOKUP(D150,TFC!$B$22:$C$29,2,0)</f>
        <v>1</v>
      </c>
      <c r="N150">
        <f t="shared" si="15"/>
        <v>31.184782608695645</v>
      </c>
      <c r="O150" s="76">
        <f t="shared" si="16"/>
        <v>779.61956521739114</v>
      </c>
      <c r="P150" s="73">
        <f t="shared" si="17"/>
        <v>58471.467391304337</v>
      </c>
    </row>
    <row r="151" spans="1:16" ht="25.5" x14ac:dyDescent="0.2">
      <c r="A151" s="30" t="s">
        <v>152</v>
      </c>
      <c r="B151" s="30" t="str">
        <f t="shared" si="12"/>
        <v>Agenda Správcu výberu mýtaÚčtovná evidencia</v>
      </c>
      <c r="C151" s="30" t="s">
        <v>215</v>
      </c>
      <c r="D151" s="31" t="s">
        <v>221</v>
      </c>
      <c r="E151" s="32" t="s">
        <v>50</v>
      </c>
      <c r="F151" s="33" t="s">
        <v>34</v>
      </c>
      <c r="G151" s="30">
        <v>0</v>
      </c>
      <c r="H151">
        <f>VLOOKUP(E151,PIVOT!$B$4:$D$165,3,0)</f>
        <v>15</v>
      </c>
      <c r="I151">
        <f t="shared" si="13"/>
        <v>1</v>
      </c>
      <c r="J151">
        <f t="shared" si="14"/>
        <v>15</v>
      </c>
      <c r="K151" s="74">
        <f>VLOOKUP(B151,UAW!$D$13:$E$23,2,0)/COUNTIFS($A$3:$A$179,A151,$D$3:$D$179,D151)</f>
        <v>3.8125</v>
      </c>
      <c r="L151">
        <f>VLOOKUP(D151,ECF!$B$18:$C$25,2,0)</f>
        <v>0.74</v>
      </c>
      <c r="M151">
        <f>VLOOKUP(D151,TFC!$B$22:$C$29,2,0)</f>
        <v>1.02</v>
      </c>
      <c r="N151">
        <f t="shared" si="15"/>
        <v>14.199675000000001</v>
      </c>
      <c r="O151" s="76">
        <f t="shared" ref="O151:O166" si="18">N151*$S$4</f>
        <v>212.995125</v>
      </c>
      <c r="P151" s="73">
        <f t="shared" si="17"/>
        <v>15974.634375</v>
      </c>
    </row>
    <row r="152" spans="1:16" x14ac:dyDescent="0.2">
      <c r="A152" s="30" t="s">
        <v>152</v>
      </c>
      <c r="B152" s="30" t="str">
        <f t="shared" si="12"/>
        <v>Agenda Správcu výberu mýtaÚčtovná evidencia</v>
      </c>
      <c r="C152" s="30" t="s">
        <v>215</v>
      </c>
      <c r="D152" s="31" t="s">
        <v>221</v>
      </c>
      <c r="E152" s="32" t="s">
        <v>42</v>
      </c>
      <c r="F152" s="33" t="s">
        <v>34</v>
      </c>
      <c r="G152" s="30">
        <v>0</v>
      </c>
      <c r="H152">
        <f>VLOOKUP(E152,PIVOT!$B$4:$D$165,3,0)</f>
        <v>10</v>
      </c>
      <c r="I152">
        <f t="shared" si="13"/>
        <v>1</v>
      </c>
      <c r="J152">
        <f t="shared" si="14"/>
        <v>10</v>
      </c>
      <c r="K152" s="74">
        <f>VLOOKUP(B152,UAW!$D$13:$E$23,2,0)/COUNTIFS($A$3:$A$179,A152,$D$3:$D$179,D152)</f>
        <v>3.8125</v>
      </c>
      <c r="L152">
        <f>VLOOKUP(D152,ECF!$B$18:$C$25,2,0)</f>
        <v>0.74</v>
      </c>
      <c r="M152">
        <f>VLOOKUP(D152,TFC!$B$22:$C$29,2,0)</f>
        <v>1.02</v>
      </c>
      <c r="N152">
        <f t="shared" si="15"/>
        <v>10.425675</v>
      </c>
      <c r="O152" s="76">
        <f t="shared" si="18"/>
        <v>156.38512499999999</v>
      </c>
      <c r="P152" s="73">
        <f t="shared" si="17"/>
        <v>11728.884375</v>
      </c>
    </row>
    <row r="153" spans="1:16" x14ac:dyDescent="0.2">
      <c r="A153" s="30" t="s">
        <v>152</v>
      </c>
      <c r="B153" s="30" t="str">
        <f t="shared" si="12"/>
        <v>Agenda Správcu výberu mýtaÚčtovná evidencia</v>
      </c>
      <c r="C153" s="30" t="s">
        <v>215</v>
      </c>
      <c r="D153" s="31" t="s">
        <v>221</v>
      </c>
      <c r="E153" s="32" t="s">
        <v>69</v>
      </c>
      <c r="F153" s="33" t="s">
        <v>34</v>
      </c>
      <c r="G153" s="30">
        <v>0</v>
      </c>
      <c r="H153">
        <f>VLOOKUP(E153,PIVOT!$B$4:$D$165,3,0)</f>
        <v>10</v>
      </c>
      <c r="I153">
        <f t="shared" si="13"/>
        <v>1</v>
      </c>
      <c r="J153">
        <f t="shared" si="14"/>
        <v>10</v>
      </c>
      <c r="K153" s="74">
        <f>VLOOKUP(B153,UAW!$D$13:$E$23,2,0)/COUNTIFS($A$3:$A$179,A153,$D$3:$D$179,D153)</f>
        <v>3.8125</v>
      </c>
      <c r="L153">
        <f>VLOOKUP(D153,ECF!$B$18:$C$25,2,0)</f>
        <v>0.74</v>
      </c>
      <c r="M153">
        <f>VLOOKUP(D153,TFC!$B$22:$C$29,2,0)</f>
        <v>1.02</v>
      </c>
      <c r="N153">
        <f t="shared" si="15"/>
        <v>10.425675</v>
      </c>
      <c r="O153" s="76">
        <f t="shared" si="18"/>
        <v>156.38512499999999</v>
      </c>
      <c r="P153" s="73">
        <f t="shared" si="17"/>
        <v>11728.884375</v>
      </c>
    </row>
    <row r="154" spans="1:16" x14ac:dyDescent="0.2">
      <c r="A154" s="30" t="s">
        <v>152</v>
      </c>
      <c r="B154" s="30" t="str">
        <f t="shared" si="12"/>
        <v>Agenda Správcu výberu mýtaÚčtovná evidencia</v>
      </c>
      <c r="C154" s="30" t="s">
        <v>215</v>
      </c>
      <c r="D154" s="31" t="s">
        <v>221</v>
      </c>
      <c r="E154" s="32" t="s">
        <v>52</v>
      </c>
      <c r="F154" s="33" t="s">
        <v>34</v>
      </c>
      <c r="G154" s="30">
        <v>3</v>
      </c>
      <c r="H154">
        <f>VLOOKUP(E154,PIVOT!$B$4:$D$165,3,0)</f>
        <v>10</v>
      </c>
      <c r="I154">
        <f t="shared" si="13"/>
        <v>3</v>
      </c>
      <c r="J154">
        <f t="shared" si="14"/>
        <v>30</v>
      </c>
      <c r="K154" s="74">
        <f>VLOOKUP(B154,UAW!$D$13:$E$23,2,0)/COUNTIFS($A$3:$A$179,A154,$D$3:$D$179,D154)</f>
        <v>3.8125</v>
      </c>
      <c r="L154">
        <f>VLOOKUP(D154,ECF!$B$18:$C$25,2,0)</f>
        <v>0.74</v>
      </c>
      <c r="M154">
        <f>VLOOKUP(D154,TFC!$B$22:$C$29,2,0)</f>
        <v>1.02</v>
      </c>
      <c r="N154">
        <f t="shared" si="15"/>
        <v>25.521674999999998</v>
      </c>
      <c r="O154" s="76">
        <f t="shared" si="18"/>
        <v>382.82512499999996</v>
      </c>
      <c r="P154" s="73">
        <f t="shared" si="17"/>
        <v>28711.884374999998</v>
      </c>
    </row>
    <row r="155" spans="1:16" x14ac:dyDescent="0.2">
      <c r="A155" s="30" t="s">
        <v>152</v>
      </c>
      <c r="B155" s="30" t="str">
        <f t="shared" si="12"/>
        <v>Agenda Správcu výberu mýtaÚčtovná evidencia</v>
      </c>
      <c r="C155" s="30" t="s">
        <v>215</v>
      </c>
      <c r="D155" s="31" t="s">
        <v>221</v>
      </c>
      <c r="E155" s="32" t="s">
        <v>53</v>
      </c>
      <c r="F155" s="33" t="s">
        <v>34</v>
      </c>
      <c r="G155" s="30">
        <v>1</v>
      </c>
      <c r="H155">
        <f>VLOOKUP(E155,PIVOT!$B$4:$D$165,3,0)</f>
        <v>15</v>
      </c>
      <c r="I155">
        <f t="shared" si="13"/>
        <v>1</v>
      </c>
      <c r="J155">
        <f t="shared" si="14"/>
        <v>15</v>
      </c>
      <c r="K155" s="74">
        <f>VLOOKUP(B155,UAW!$D$13:$E$23,2,0)/COUNTIFS($A$3:$A$179,A155,$D$3:$D$179,D155)</f>
        <v>3.8125</v>
      </c>
      <c r="L155">
        <f>VLOOKUP(D155,ECF!$B$18:$C$25,2,0)</f>
        <v>0.74</v>
      </c>
      <c r="M155">
        <f>VLOOKUP(D155,TFC!$B$22:$C$29,2,0)</f>
        <v>1.02</v>
      </c>
      <c r="N155">
        <f t="shared" si="15"/>
        <v>14.199675000000001</v>
      </c>
      <c r="O155" s="76">
        <f t="shared" si="18"/>
        <v>212.995125</v>
      </c>
      <c r="P155" s="73">
        <f t="shared" si="17"/>
        <v>15974.634375</v>
      </c>
    </row>
    <row r="156" spans="1:16" x14ac:dyDescent="0.2">
      <c r="A156" s="30" t="s">
        <v>152</v>
      </c>
      <c r="B156" s="30" t="str">
        <f t="shared" si="12"/>
        <v>Agenda Správcu výberu mýtaÚčtovná evidencia</v>
      </c>
      <c r="C156" s="30" t="s">
        <v>215</v>
      </c>
      <c r="D156" s="31" t="s">
        <v>221</v>
      </c>
      <c r="E156" s="32" t="s">
        <v>27</v>
      </c>
      <c r="F156" s="33" t="s">
        <v>34</v>
      </c>
      <c r="G156" s="30">
        <v>1</v>
      </c>
      <c r="H156">
        <f>VLOOKUP(E156,PIVOT!$B$4:$D$165,3,0)</f>
        <v>10</v>
      </c>
      <c r="I156">
        <f t="shared" si="13"/>
        <v>1</v>
      </c>
      <c r="J156">
        <f t="shared" si="14"/>
        <v>10</v>
      </c>
      <c r="K156" s="74">
        <f>VLOOKUP(B156,UAW!$D$13:$E$23,2,0)/COUNTIFS($A$3:$A$179,A156,$D$3:$D$179,D156)</f>
        <v>3.8125</v>
      </c>
      <c r="L156">
        <f>VLOOKUP(D156,ECF!$B$18:$C$25,2,0)</f>
        <v>0.74</v>
      </c>
      <c r="M156">
        <f>VLOOKUP(D156,TFC!$B$22:$C$29,2,0)</f>
        <v>1.02</v>
      </c>
      <c r="N156">
        <f t="shared" si="15"/>
        <v>10.425675</v>
      </c>
      <c r="O156" s="76">
        <f t="shared" si="18"/>
        <v>156.38512499999999</v>
      </c>
      <c r="P156" s="73">
        <f t="shared" si="17"/>
        <v>11728.884375</v>
      </c>
    </row>
    <row r="157" spans="1:16" x14ac:dyDescent="0.2">
      <c r="A157" s="30" t="s">
        <v>152</v>
      </c>
      <c r="B157" s="30" t="str">
        <f t="shared" si="12"/>
        <v>Agenda Správcu výberu mýtaÚčtovná evidencia</v>
      </c>
      <c r="C157" s="30" t="s">
        <v>215</v>
      </c>
      <c r="D157" s="31" t="s">
        <v>221</v>
      </c>
      <c r="E157" s="32" t="s">
        <v>104</v>
      </c>
      <c r="F157" s="33" t="s">
        <v>34</v>
      </c>
      <c r="G157" s="30">
        <v>4</v>
      </c>
      <c r="H157">
        <f>VLOOKUP(E157,PIVOT!$B$4:$D$165,3,0)</f>
        <v>10</v>
      </c>
      <c r="I157">
        <f t="shared" si="13"/>
        <v>4</v>
      </c>
      <c r="J157">
        <f t="shared" si="14"/>
        <v>40</v>
      </c>
      <c r="K157" s="74">
        <f>VLOOKUP(B157,UAW!$D$13:$E$23,2,0)/COUNTIFS($A$3:$A$179,A157,$D$3:$D$179,D157)</f>
        <v>3.8125</v>
      </c>
      <c r="L157">
        <f>VLOOKUP(D157,ECF!$B$18:$C$25,2,0)</f>
        <v>0.74</v>
      </c>
      <c r="M157">
        <f>VLOOKUP(D157,TFC!$B$22:$C$29,2,0)</f>
        <v>1.02</v>
      </c>
      <c r="N157">
        <f t="shared" si="15"/>
        <v>33.069675000000004</v>
      </c>
      <c r="O157" s="76">
        <f t="shared" si="18"/>
        <v>496.04512500000004</v>
      </c>
      <c r="P157" s="73">
        <f t="shared" si="17"/>
        <v>37203.384375000001</v>
      </c>
    </row>
    <row r="158" spans="1:16" x14ac:dyDescent="0.2">
      <c r="A158" s="30" t="s">
        <v>152</v>
      </c>
      <c r="B158" s="30" t="str">
        <f t="shared" si="12"/>
        <v>Agenda Správcu výberu mýtaÚčtovná evidencia</v>
      </c>
      <c r="C158" s="30" t="s">
        <v>215</v>
      </c>
      <c r="D158" s="31" t="s">
        <v>221</v>
      </c>
      <c r="E158" s="32" t="s">
        <v>72</v>
      </c>
      <c r="F158" s="33" t="s">
        <v>34</v>
      </c>
      <c r="G158" s="30">
        <v>0</v>
      </c>
      <c r="H158">
        <f>VLOOKUP(E158,PIVOT!$B$4:$D$165,3,0)</f>
        <v>10</v>
      </c>
      <c r="I158">
        <f t="shared" si="13"/>
        <v>1</v>
      </c>
      <c r="J158">
        <f t="shared" si="14"/>
        <v>10</v>
      </c>
      <c r="K158" s="74">
        <f>VLOOKUP(B158,UAW!$D$13:$E$23,2,0)/COUNTIFS($A$3:$A$179,A158,$D$3:$D$179,D158)</f>
        <v>3.8125</v>
      </c>
      <c r="L158">
        <f>VLOOKUP(D158,ECF!$B$18:$C$25,2,0)</f>
        <v>0.74</v>
      </c>
      <c r="M158">
        <f>VLOOKUP(D158,TFC!$B$22:$C$29,2,0)</f>
        <v>1.02</v>
      </c>
      <c r="N158">
        <f t="shared" si="15"/>
        <v>10.425675</v>
      </c>
      <c r="O158" s="76">
        <f t="shared" si="18"/>
        <v>156.38512499999999</v>
      </c>
      <c r="P158" s="73">
        <f t="shared" si="17"/>
        <v>11728.884375</v>
      </c>
    </row>
    <row r="159" spans="1:16" ht="25.5" x14ac:dyDescent="0.2">
      <c r="A159" s="30" t="s">
        <v>152</v>
      </c>
      <c r="B159" s="30" t="str">
        <f t="shared" si="12"/>
        <v>Agenda Správcu výberu mýtaÚčtovná evidencia</v>
      </c>
      <c r="C159" s="30" t="s">
        <v>215</v>
      </c>
      <c r="D159" s="31" t="s">
        <v>221</v>
      </c>
      <c r="E159" s="32" t="s">
        <v>78</v>
      </c>
      <c r="F159" s="33" t="s">
        <v>34</v>
      </c>
      <c r="G159" s="30">
        <v>0</v>
      </c>
      <c r="H159">
        <f>VLOOKUP(E159,PIVOT!$B$4:$D$165,3,0)</f>
        <v>15</v>
      </c>
      <c r="I159">
        <f t="shared" si="13"/>
        <v>1</v>
      </c>
      <c r="J159">
        <f t="shared" si="14"/>
        <v>15</v>
      </c>
      <c r="K159" s="74">
        <f>VLOOKUP(B159,UAW!$D$13:$E$23,2,0)/COUNTIFS($A$3:$A$179,A159,$D$3:$D$179,D159)</f>
        <v>3.8125</v>
      </c>
      <c r="L159">
        <f>VLOOKUP(D159,ECF!$B$18:$C$25,2,0)</f>
        <v>0.74</v>
      </c>
      <c r="M159">
        <f>VLOOKUP(D159,TFC!$B$22:$C$29,2,0)</f>
        <v>1.02</v>
      </c>
      <c r="N159">
        <f t="shared" si="15"/>
        <v>14.199675000000001</v>
      </c>
      <c r="O159" s="76">
        <f t="shared" si="18"/>
        <v>212.995125</v>
      </c>
      <c r="P159" s="73">
        <f t="shared" si="17"/>
        <v>15974.634375</v>
      </c>
    </row>
    <row r="160" spans="1:16" ht="25.5" x14ac:dyDescent="0.2">
      <c r="A160" s="30" t="s">
        <v>152</v>
      </c>
      <c r="B160" s="30" t="str">
        <f t="shared" si="12"/>
        <v>Agenda Správcu výberu mýtaÚčtovná evidencia</v>
      </c>
      <c r="C160" s="30" t="s">
        <v>215</v>
      </c>
      <c r="D160" s="31" t="s">
        <v>221</v>
      </c>
      <c r="E160" s="32" t="s">
        <v>80</v>
      </c>
      <c r="F160" s="33" t="s">
        <v>34</v>
      </c>
      <c r="G160" s="30">
        <v>0</v>
      </c>
      <c r="H160">
        <f>VLOOKUP(E160,PIVOT!$B$4:$D$165,3,0)</f>
        <v>10</v>
      </c>
      <c r="I160">
        <f t="shared" si="13"/>
        <v>1</v>
      </c>
      <c r="J160">
        <f t="shared" si="14"/>
        <v>10</v>
      </c>
      <c r="K160" s="74">
        <f>VLOOKUP(B160,UAW!$D$13:$E$23,2,0)/COUNTIFS($A$3:$A$179,A160,$D$3:$D$179,D160)</f>
        <v>3.8125</v>
      </c>
      <c r="L160">
        <f>VLOOKUP(D160,ECF!$B$18:$C$25,2,0)</f>
        <v>0.74</v>
      </c>
      <c r="M160">
        <f>VLOOKUP(D160,TFC!$B$22:$C$29,2,0)</f>
        <v>1.02</v>
      </c>
      <c r="N160">
        <f t="shared" si="15"/>
        <v>10.425675</v>
      </c>
      <c r="O160" s="76">
        <f t="shared" si="18"/>
        <v>156.38512499999999</v>
      </c>
      <c r="P160" s="73">
        <f t="shared" si="17"/>
        <v>11728.884375</v>
      </c>
    </row>
    <row r="161" spans="1:16" x14ac:dyDescent="0.2">
      <c r="A161" s="30" t="s">
        <v>152</v>
      </c>
      <c r="B161" s="30" t="str">
        <f t="shared" si="12"/>
        <v>Agenda Správcu výberu mýtaÚčtovná evidencia</v>
      </c>
      <c r="C161" s="30" t="s">
        <v>215</v>
      </c>
      <c r="D161" s="31" t="s">
        <v>221</v>
      </c>
      <c r="E161" s="32" t="s">
        <v>52</v>
      </c>
      <c r="F161" s="33" t="s">
        <v>34</v>
      </c>
      <c r="G161" s="30">
        <v>4</v>
      </c>
      <c r="H161">
        <f>VLOOKUP(E161,PIVOT!$B$4:$D$165,3,0)</f>
        <v>10</v>
      </c>
      <c r="I161">
        <f t="shared" si="13"/>
        <v>4</v>
      </c>
      <c r="J161">
        <f t="shared" si="14"/>
        <v>40</v>
      </c>
      <c r="K161" s="74">
        <f>VLOOKUP(B161,UAW!$D$13:$E$23,2,0)/COUNTIFS($A$3:$A$179,A161,$D$3:$D$179,D161)</f>
        <v>3.8125</v>
      </c>
      <c r="L161">
        <f>VLOOKUP(D161,ECF!$B$18:$C$25,2,0)</f>
        <v>0.74</v>
      </c>
      <c r="M161">
        <f>VLOOKUP(D161,TFC!$B$22:$C$29,2,0)</f>
        <v>1.02</v>
      </c>
      <c r="N161">
        <f t="shared" si="15"/>
        <v>33.069675000000004</v>
      </c>
      <c r="O161" s="76">
        <f t="shared" si="18"/>
        <v>496.04512500000004</v>
      </c>
      <c r="P161" s="73">
        <f t="shared" si="17"/>
        <v>37203.384375000001</v>
      </c>
    </row>
    <row r="162" spans="1:16" x14ac:dyDescent="0.2">
      <c r="A162" s="30" t="s">
        <v>152</v>
      </c>
      <c r="B162" s="30" t="str">
        <f t="shared" si="12"/>
        <v>Agenda Správcu výberu mýtaÚčtovná evidencia</v>
      </c>
      <c r="C162" s="30" t="s">
        <v>215</v>
      </c>
      <c r="D162" s="31" t="s">
        <v>221</v>
      </c>
      <c r="E162" s="32" t="s">
        <v>81</v>
      </c>
      <c r="F162" s="33" t="s">
        <v>34</v>
      </c>
      <c r="G162" s="30">
        <v>0</v>
      </c>
      <c r="H162">
        <f>VLOOKUP(E162,PIVOT!$B$4:$D$165,3,0)</f>
        <v>10</v>
      </c>
      <c r="I162">
        <f t="shared" si="13"/>
        <v>1</v>
      </c>
      <c r="J162">
        <f t="shared" si="14"/>
        <v>10</v>
      </c>
      <c r="K162" s="74">
        <f>VLOOKUP(B162,UAW!$D$13:$E$23,2,0)/COUNTIFS($A$3:$A$179,A162,$D$3:$D$179,D162)</f>
        <v>3.8125</v>
      </c>
      <c r="L162">
        <f>VLOOKUP(D162,ECF!$B$18:$C$25,2,0)</f>
        <v>0.74</v>
      </c>
      <c r="M162">
        <f>VLOOKUP(D162,TFC!$B$22:$C$29,2,0)</f>
        <v>1.02</v>
      </c>
      <c r="N162">
        <f t="shared" si="15"/>
        <v>10.425675</v>
      </c>
      <c r="O162" s="76">
        <f t="shared" si="18"/>
        <v>156.38512499999999</v>
      </c>
      <c r="P162" s="73">
        <f t="shared" si="17"/>
        <v>11728.884375</v>
      </c>
    </row>
    <row r="163" spans="1:16" x14ac:dyDescent="0.2">
      <c r="A163" s="30" t="s">
        <v>152</v>
      </c>
      <c r="B163" s="30" t="str">
        <f t="shared" si="12"/>
        <v>Agenda Správcu výberu mýtaÚčtovná evidencia</v>
      </c>
      <c r="C163" s="30" t="s">
        <v>215</v>
      </c>
      <c r="D163" s="31" t="s">
        <v>221</v>
      </c>
      <c r="E163" s="32" t="s">
        <v>27</v>
      </c>
      <c r="F163" s="33" t="s">
        <v>34</v>
      </c>
      <c r="G163" s="30">
        <v>4</v>
      </c>
      <c r="H163">
        <f>VLOOKUP(E163,PIVOT!$B$4:$D$165,3,0)</f>
        <v>10</v>
      </c>
      <c r="I163">
        <f t="shared" si="13"/>
        <v>4</v>
      </c>
      <c r="J163">
        <f t="shared" si="14"/>
        <v>40</v>
      </c>
      <c r="K163" s="74">
        <f>VLOOKUP(B163,UAW!$D$13:$E$23,2,0)/COUNTIFS($A$3:$A$179,A163,$D$3:$D$179,D163)</f>
        <v>3.8125</v>
      </c>
      <c r="L163">
        <f>VLOOKUP(D163,ECF!$B$18:$C$25,2,0)</f>
        <v>0.74</v>
      </c>
      <c r="M163">
        <f>VLOOKUP(D163,TFC!$B$22:$C$29,2,0)</f>
        <v>1.02</v>
      </c>
      <c r="N163">
        <f t="shared" si="15"/>
        <v>33.069675000000004</v>
      </c>
      <c r="O163" s="76">
        <f t="shared" si="18"/>
        <v>496.04512500000004</v>
      </c>
      <c r="P163" s="73">
        <f t="shared" si="17"/>
        <v>37203.384375000001</v>
      </c>
    </row>
    <row r="164" spans="1:16" x14ac:dyDescent="0.2">
      <c r="A164" s="30" t="s">
        <v>152</v>
      </c>
      <c r="B164" s="30" t="str">
        <f t="shared" si="12"/>
        <v>Agenda Správcu výberu mýtaÚčtovná evidencia</v>
      </c>
      <c r="C164" s="30" t="s">
        <v>215</v>
      </c>
      <c r="D164" s="31" t="s">
        <v>221</v>
      </c>
      <c r="E164" s="32" t="s">
        <v>69</v>
      </c>
      <c r="F164" s="33" t="s">
        <v>34</v>
      </c>
      <c r="G164" s="30">
        <v>0</v>
      </c>
      <c r="H164">
        <f>VLOOKUP(E164,PIVOT!$B$4:$D$165,3,0)</f>
        <v>10</v>
      </c>
      <c r="I164">
        <f t="shared" si="13"/>
        <v>1</v>
      </c>
      <c r="J164">
        <f t="shared" si="14"/>
        <v>10</v>
      </c>
      <c r="K164" s="74">
        <f>VLOOKUP(B164,UAW!$D$13:$E$23,2,0)/COUNTIFS($A$3:$A$179,A164,$D$3:$D$179,D164)</f>
        <v>3.8125</v>
      </c>
      <c r="L164">
        <f>VLOOKUP(D164,ECF!$B$18:$C$25,2,0)</f>
        <v>0.74</v>
      </c>
      <c r="M164">
        <f>VLOOKUP(D164,TFC!$B$22:$C$29,2,0)</f>
        <v>1.02</v>
      </c>
      <c r="N164">
        <f t="shared" si="15"/>
        <v>10.425675</v>
      </c>
      <c r="O164" s="76">
        <f t="shared" si="18"/>
        <v>156.38512499999999</v>
      </c>
      <c r="P164" s="73">
        <f t="shared" si="17"/>
        <v>11728.884375</v>
      </c>
    </row>
    <row r="165" spans="1:16" ht="25.5" x14ac:dyDescent="0.2">
      <c r="A165" s="30" t="s">
        <v>152</v>
      </c>
      <c r="B165" s="30" t="str">
        <f t="shared" si="12"/>
        <v>Agenda Správcu výberu mýtaÚčtovná evidencia</v>
      </c>
      <c r="C165" s="30" t="s">
        <v>215</v>
      </c>
      <c r="D165" s="31" t="s">
        <v>221</v>
      </c>
      <c r="E165" s="32" t="s">
        <v>100</v>
      </c>
      <c r="F165" s="33" t="s">
        <v>34</v>
      </c>
      <c r="G165" s="30">
        <v>4</v>
      </c>
      <c r="H165">
        <f>VLOOKUP(E165,PIVOT!$B$4:$D$165,3,0)</f>
        <v>10</v>
      </c>
      <c r="I165">
        <f t="shared" si="13"/>
        <v>4</v>
      </c>
      <c r="J165">
        <f t="shared" si="14"/>
        <v>40</v>
      </c>
      <c r="K165" s="74">
        <f>VLOOKUP(B165,UAW!$D$13:$E$23,2,0)/COUNTIFS($A$3:$A$179,A165,$D$3:$D$179,D165)</f>
        <v>3.8125</v>
      </c>
      <c r="L165">
        <f>VLOOKUP(D165,ECF!$B$18:$C$25,2,0)</f>
        <v>0.74</v>
      </c>
      <c r="M165">
        <f>VLOOKUP(D165,TFC!$B$22:$C$29,2,0)</f>
        <v>1.02</v>
      </c>
      <c r="N165">
        <f t="shared" si="15"/>
        <v>33.069675000000004</v>
      </c>
      <c r="O165" s="76">
        <f t="shared" si="18"/>
        <v>496.04512500000004</v>
      </c>
      <c r="P165" s="73">
        <f t="shared" si="17"/>
        <v>37203.384375000001</v>
      </c>
    </row>
    <row r="166" spans="1:16" x14ac:dyDescent="0.2">
      <c r="A166" s="30" t="s">
        <v>152</v>
      </c>
      <c r="B166" s="30" t="str">
        <f t="shared" si="12"/>
        <v>Agenda Správcu výberu mýtaÚčtovná evidencia</v>
      </c>
      <c r="C166" s="30" t="s">
        <v>215</v>
      </c>
      <c r="D166" s="31" t="s">
        <v>221</v>
      </c>
      <c r="E166" s="32" t="s">
        <v>207</v>
      </c>
      <c r="F166" s="33" t="s">
        <v>34</v>
      </c>
      <c r="G166" s="30">
        <v>0</v>
      </c>
      <c r="H166">
        <f>VLOOKUP(E166,PIVOT!$B$4:$D$165,3,0)</f>
        <v>10</v>
      </c>
      <c r="I166">
        <f t="shared" si="13"/>
        <v>1</v>
      </c>
      <c r="J166">
        <f t="shared" si="14"/>
        <v>10</v>
      </c>
      <c r="K166" s="74">
        <f>VLOOKUP(B166,UAW!$D$13:$E$23,2,0)/COUNTIFS($A$3:$A$179,A166,$D$3:$D$179,D166)</f>
        <v>3.8125</v>
      </c>
      <c r="L166">
        <f>VLOOKUP(D166,ECF!$B$18:$C$25,2,0)</f>
        <v>0.74</v>
      </c>
      <c r="M166">
        <f>VLOOKUP(D166,TFC!$B$22:$C$29,2,0)</f>
        <v>1.02</v>
      </c>
      <c r="N166">
        <f t="shared" si="15"/>
        <v>10.425675</v>
      </c>
      <c r="O166" s="76">
        <f t="shared" si="18"/>
        <v>156.38512499999999</v>
      </c>
      <c r="P166" s="73">
        <f t="shared" si="17"/>
        <v>11728.884375</v>
      </c>
    </row>
    <row r="167" spans="1:16" x14ac:dyDescent="0.2">
      <c r="A167" s="30" t="s">
        <v>152</v>
      </c>
      <c r="B167" s="30" t="str">
        <f t="shared" si="12"/>
        <v>Agenda Správcu výberu mýtaRegistratúra Archív</v>
      </c>
      <c r="C167" s="30" t="s">
        <v>215</v>
      </c>
      <c r="D167" s="31" t="s">
        <v>222</v>
      </c>
      <c r="E167" s="32" t="s">
        <v>41</v>
      </c>
      <c r="F167" s="33" t="s">
        <v>34</v>
      </c>
      <c r="G167" s="30">
        <v>0</v>
      </c>
      <c r="H167">
        <f>VLOOKUP(E167,PIVOT!$B$4:$D$165,3,0)</f>
        <v>15</v>
      </c>
      <c r="I167">
        <f t="shared" si="13"/>
        <v>1</v>
      </c>
      <c r="J167">
        <f t="shared" si="14"/>
        <v>15</v>
      </c>
      <c r="K167" s="74">
        <f>VLOOKUP(B167,UAW!$D$13:$E$23,2,0)/COUNTIFS($A$3:$A$179,A167,$D$3:$D$179,D167)</f>
        <v>28.5</v>
      </c>
      <c r="L167">
        <f>VLOOKUP(D167,ECF!$B$18:$C$25,2,0)</f>
        <v>0.74</v>
      </c>
      <c r="M167">
        <f>VLOOKUP(D167,TFC!$B$22:$C$29,2,0)</f>
        <v>1.02</v>
      </c>
      <c r="N167">
        <f t="shared" si="15"/>
        <v>32.833799999999997</v>
      </c>
      <c r="O167" s="76">
        <f t="shared" ref="O167:O179" si="19">N167*$S$3</f>
        <v>820.84499999999991</v>
      </c>
      <c r="P167" s="73">
        <f t="shared" si="17"/>
        <v>61563.374999999993</v>
      </c>
    </row>
    <row r="168" spans="1:16" x14ac:dyDescent="0.2">
      <c r="A168" s="30" t="s">
        <v>152</v>
      </c>
      <c r="B168" s="30" t="str">
        <f t="shared" si="12"/>
        <v>Agenda Správcu výberu mýtaRegistratúra Archív</v>
      </c>
      <c r="C168" s="30" t="s">
        <v>215</v>
      </c>
      <c r="D168" s="31" t="s">
        <v>222</v>
      </c>
      <c r="E168" s="32" t="s">
        <v>67</v>
      </c>
      <c r="F168" s="33" t="s">
        <v>34</v>
      </c>
      <c r="G168" s="30">
        <v>0</v>
      </c>
      <c r="H168">
        <f>VLOOKUP(E168,PIVOT!$B$4:$D$165,3,0)</f>
        <v>15</v>
      </c>
      <c r="I168">
        <f t="shared" si="13"/>
        <v>1</v>
      </c>
      <c r="J168">
        <f t="shared" si="14"/>
        <v>15</v>
      </c>
      <c r="K168" s="74">
        <f>VLOOKUP(B168,UAW!$D$13:$E$23,2,0)/COUNTIFS($A$3:$A$179,A168,$D$3:$D$179,D168)</f>
        <v>28.5</v>
      </c>
      <c r="L168">
        <f>VLOOKUP(D168,ECF!$B$18:$C$25,2,0)</f>
        <v>0.74</v>
      </c>
      <c r="M168">
        <f>VLOOKUP(D168,TFC!$B$22:$C$29,2,0)</f>
        <v>1.02</v>
      </c>
      <c r="N168">
        <f t="shared" si="15"/>
        <v>32.833799999999997</v>
      </c>
      <c r="O168" s="76">
        <f t="shared" si="19"/>
        <v>820.84499999999991</v>
      </c>
      <c r="P168" s="73">
        <f t="shared" si="17"/>
        <v>61563.374999999993</v>
      </c>
    </row>
    <row r="169" spans="1:16" x14ac:dyDescent="0.2">
      <c r="A169" s="30" t="s">
        <v>152</v>
      </c>
      <c r="B169" s="30" t="str">
        <f t="shared" si="12"/>
        <v>Agenda Správcu výberu mýtaDátový sklad (DWH)</v>
      </c>
      <c r="C169" s="30" t="s">
        <v>215</v>
      </c>
      <c r="D169" s="31" t="s">
        <v>174</v>
      </c>
      <c r="E169" s="32" t="s">
        <v>205</v>
      </c>
      <c r="F169" s="33" t="s">
        <v>34</v>
      </c>
      <c r="G169" s="30">
        <v>1</v>
      </c>
      <c r="H169">
        <f>VLOOKUP(E169,PIVOT!$B$4:$D$165,3,0)</f>
        <v>15</v>
      </c>
      <c r="I169">
        <f t="shared" si="13"/>
        <v>1</v>
      </c>
      <c r="J169">
        <f t="shared" si="14"/>
        <v>15</v>
      </c>
      <c r="K169" s="74">
        <f>VLOOKUP(B169,UAW!$D$13:$E$23,2,0)/COUNTIFS($A$3:$A$179,A169,$D$3:$D$179,D169)</f>
        <v>10</v>
      </c>
      <c r="L169">
        <f>VLOOKUP(D169,ECF!$B$18:$C$25,2,0)</f>
        <v>0.71</v>
      </c>
      <c r="M169">
        <f>VLOOKUP(D169,TFC!$B$22:$C$29,2,0)</f>
        <v>0.96</v>
      </c>
      <c r="N169">
        <f t="shared" si="15"/>
        <v>17.04</v>
      </c>
      <c r="O169" s="76">
        <f t="shared" si="19"/>
        <v>426</v>
      </c>
      <c r="P169" s="73">
        <f t="shared" si="17"/>
        <v>31950</v>
      </c>
    </row>
    <row r="170" spans="1:16" x14ac:dyDescent="0.2">
      <c r="A170" s="30" t="s">
        <v>152</v>
      </c>
      <c r="B170" s="30" t="str">
        <f t="shared" si="12"/>
        <v>Agenda Správcu výberu mýtaDátový sklad (DWH)</v>
      </c>
      <c r="C170" s="30" t="s">
        <v>215</v>
      </c>
      <c r="D170" s="31" t="s">
        <v>174</v>
      </c>
      <c r="E170" s="32" t="s">
        <v>105</v>
      </c>
      <c r="F170" s="33" t="s">
        <v>34</v>
      </c>
      <c r="G170" s="30">
        <v>0</v>
      </c>
      <c r="H170">
        <f>VLOOKUP(E170,PIVOT!$B$4:$D$165,3,0)</f>
        <v>15</v>
      </c>
      <c r="I170">
        <f t="shared" si="13"/>
        <v>1</v>
      </c>
      <c r="J170">
        <f t="shared" si="14"/>
        <v>15</v>
      </c>
      <c r="K170" s="74">
        <f>VLOOKUP(B170,UAW!$D$13:$E$23,2,0)/COUNTIFS($A$3:$A$179,A170,$D$3:$D$179,D170)</f>
        <v>10</v>
      </c>
      <c r="L170">
        <f>VLOOKUP(D170,ECF!$B$18:$C$25,2,0)</f>
        <v>0.71</v>
      </c>
      <c r="M170">
        <f>VLOOKUP(D170,TFC!$B$22:$C$29,2,0)</f>
        <v>0.96</v>
      </c>
      <c r="N170">
        <f t="shared" si="15"/>
        <v>17.04</v>
      </c>
      <c r="O170" s="76">
        <f t="shared" si="19"/>
        <v>426</v>
      </c>
      <c r="P170" s="73">
        <f t="shared" si="17"/>
        <v>31950</v>
      </c>
    </row>
    <row r="171" spans="1:16" x14ac:dyDescent="0.2">
      <c r="A171" s="30" t="s">
        <v>152</v>
      </c>
      <c r="B171" s="30" t="str">
        <f t="shared" si="12"/>
        <v>Agenda Správcu výberu mýtaDátový sklad (DWH)</v>
      </c>
      <c r="C171" s="30" t="s">
        <v>215</v>
      </c>
      <c r="D171" s="31" t="s">
        <v>174</v>
      </c>
      <c r="E171" s="32" t="s">
        <v>106</v>
      </c>
      <c r="F171" s="33" t="s">
        <v>34</v>
      </c>
      <c r="G171" s="30">
        <v>0</v>
      </c>
      <c r="H171">
        <f>VLOOKUP(E171,PIVOT!$B$4:$D$165,3,0)</f>
        <v>15</v>
      </c>
      <c r="I171">
        <f t="shared" si="13"/>
        <v>1</v>
      </c>
      <c r="J171">
        <f t="shared" si="14"/>
        <v>15</v>
      </c>
      <c r="K171" s="74">
        <f>VLOOKUP(B171,UAW!$D$13:$E$23,2,0)/COUNTIFS($A$3:$A$179,A171,$D$3:$D$179,D171)</f>
        <v>10</v>
      </c>
      <c r="L171">
        <f>VLOOKUP(D171,ECF!$B$18:$C$25,2,0)</f>
        <v>0.71</v>
      </c>
      <c r="M171">
        <f>VLOOKUP(D171,TFC!$B$22:$C$29,2,0)</f>
        <v>0.96</v>
      </c>
      <c r="N171">
        <f t="shared" si="15"/>
        <v>17.04</v>
      </c>
      <c r="O171" s="76">
        <f t="shared" si="19"/>
        <v>426</v>
      </c>
      <c r="P171" s="73">
        <f t="shared" si="17"/>
        <v>31950</v>
      </c>
    </row>
    <row r="172" spans="1:16" x14ac:dyDescent="0.2">
      <c r="A172" s="30" t="s">
        <v>152</v>
      </c>
      <c r="B172" s="30" t="str">
        <f t="shared" si="12"/>
        <v>Agenda Správcu výberu mýtaDátový sklad (DWH)</v>
      </c>
      <c r="C172" s="30" t="s">
        <v>215</v>
      </c>
      <c r="D172" s="31" t="s">
        <v>174</v>
      </c>
      <c r="E172" s="32" t="s">
        <v>107</v>
      </c>
      <c r="F172" s="33" t="s">
        <v>34</v>
      </c>
      <c r="G172" s="30">
        <v>0</v>
      </c>
      <c r="H172">
        <f>VLOOKUP(E172,PIVOT!$B$4:$D$165,3,0)</f>
        <v>15</v>
      </c>
      <c r="I172">
        <f t="shared" si="13"/>
        <v>1</v>
      </c>
      <c r="J172">
        <f t="shared" si="14"/>
        <v>15</v>
      </c>
      <c r="K172" s="74">
        <f>VLOOKUP(B172,UAW!$D$13:$E$23,2,0)/COUNTIFS($A$3:$A$179,A172,$D$3:$D$179,D172)</f>
        <v>10</v>
      </c>
      <c r="L172">
        <f>VLOOKUP(D172,ECF!$B$18:$C$25,2,0)</f>
        <v>0.71</v>
      </c>
      <c r="M172">
        <f>VLOOKUP(D172,TFC!$B$22:$C$29,2,0)</f>
        <v>0.96</v>
      </c>
      <c r="N172">
        <f t="shared" si="15"/>
        <v>17.04</v>
      </c>
      <c r="O172" s="76">
        <f t="shared" si="19"/>
        <v>426</v>
      </c>
      <c r="P172" s="73">
        <f t="shared" si="17"/>
        <v>31950</v>
      </c>
    </row>
    <row r="173" spans="1:16" x14ac:dyDescent="0.2">
      <c r="A173" s="30" t="s">
        <v>152</v>
      </c>
      <c r="B173" s="30" t="str">
        <f t="shared" si="12"/>
        <v>Agenda Správcu výberu mýtaDátový sklad (DWH)</v>
      </c>
      <c r="C173" s="30" t="s">
        <v>215</v>
      </c>
      <c r="D173" s="31" t="s">
        <v>174</v>
      </c>
      <c r="E173" s="32" t="s">
        <v>108</v>
      </c>
      <c r="F173" s="33" t="s">
        <v>34</v>
      </c>
      <c r="G173" s="30">
        <v>0</v>
      </c>
      <c r="H173">
        <f>VLOOKUP(E173,PIVOT!$B$4:$D$165,3,0)</f>
        <v>15</v>
      </c>
      <c r="I173">
        <f t="shared" si="13"/>
        <v>1</v>
      </c>
      <c r="J173">
        <f t="shared" si="14"/>
        <v>15</v>
      </c>
      <c r="K173" s="74">
        <f>VLOOKUP(B173,UAW!$D$13:$E$23,2,0)/COUNTIFS($A$3:$A$179,A173,$D$3:$D$179,D173)</f>
        <v>10</v>
      </c>
      <c r="L173">
        <f>VLOOKUP(D173,ECF!$B$18:$C$25,2,0)</f>
        <v>0.71</v>
      </c>
      <c r="M173">
        <f>VLOOKUP(D173,TFC!$B$22:$C$29,2,0)</f>
        <v>0.96</v>
      </c>
      <c r="N173">
        <f t="shared" si="15"/>
        <v>17.04</v>
      </c>
      <c r="O173" s="76">
        <f t="shared" si="19"/>
        <v>426</v>
      </c>
      <c r="P173" s="73">
        <f t="shared" si="17"/>
        <v>31950</v>
      </c>
    </row>
    <row r="174" spans="1:16" x14ac:dyDescent="0.2">
      <c r="A174" s="30" t="s">
        <v>152</v>
      </c>
      <c r="B174" s="30" t="str">
        <f t="shared" si="12"/>
        <v>Agenda Správcu výberu mýtaDátový sklad (DWH)</v>
      </c>
      <c r="C174" s="30" t="s">
        <v>215</v>
      </c>
      <c r="D174" s="31" t="s">
        <v>174</v>
      </c>
      <c r="E174" s="32" t="s">
        <v>109</v>
      </c>
      <c r="F174" s="33" t="s">
        <v>34</v>
      </c>
      <c r="G174" s="30">
        <v>0</v>
      </c>
      <c r="H174">
        <f>VLOOKUP(E174,PIVOT!$B$4:$D$165,3,0)</f>
        <v>15</v>
      </c>
      <c r="I174">
        <f t="shared" si="13"/>
        <v>1</v>
      </c>
      <c r="J174">
        <f t="shared" si="14"/>
        <v>15</v>
      </c>
      <c r="K174" s="74">
        <f>VLOOKUP(B174,UAW!$D$13:$E$23,2,0)/COUNTIFS($A$3:$A$179,A174,$D$3:$D$179,D174)</f>
        <v>10</v>
      </c>
      <c r="L174">
        <f>VLOOKUP(D174,ECF!$B$18:$C$25,2,0)</f>
        <v>0.71</v>
      </c>
      <c r="M174">
        <f>VLOOKUP(D174,TFC!$B$22:$C$29,2,0)</f>
        <v>0.96</v>
      </c>
      <c r="N174">
        <f t="shared" si="15"/>
        <v>17.04</v>
      </c>
      <c r="O174" s="76">
        <f t="shared" si="19"/>
        <v>426</v>
      </c>
      <c r="P174" s="73">
        <f t="shared" si="17"/>
        <v>31950</v>
      </c>
    </row>
    <row r="175" spans="1:16" x14ac:dyDescent="0.2">
      <c r="A175" s="30" t="s">
        <v>152</v>
      </c>
      <c r="B175" s="30" t="str">
        <f t="shared" si="12"/>
        <v>Agenda Správcu výberu mýtaGIS</v>
      </c>
      <c r="C175" s="30" t="s">
        <v>0</v>
      </c>
      <c r="D175" s="31" t="s">
        <v>200</v>
      </c>
      <c r="E175" s="32" t="s">
        <v>97</v>
      </c>
      <c r="F175" s="33" t="s">
        <v>34</v>
      </c>
      <c r="G175" s="30">
        <v>0</v>
      </c>
      <c r="H175">
        <f>VLOOKUP(E175,PIVOT!$B$4:$D$165,3,0)</f>
        <v>15</v>
      </c>
      <c r="I175">
        <f t="shared" si="13"/>
        <v>1</v>
      </c>
      <c r="J175">
        <f t="shared" si="14"/>
        <v>15</v>
      </c>
      <c r="K175" s="74">
        <f>VLOOKUP(B175,UAW!$D$13:$E$23,2,0)/COUNTIFS($A$3:$A$179,A175,$D$3:$D$179,D175)</f>
        <v>11.4</v>
      </c>
      <c r="L175">
        <f>VLOOKUP(D175,ECF!$B$18:$C$25,2,0)</f>
        <v>0.90499999999999992</v>
      </c>
      <c r="M175">
        <f>VLOOKUP(D175,TFC!$B$22:$C$29,2,0)</f>
        <v>1.115</v>
      </c>
      <c r="N175">
        <f t="shared" si="15"/>
        <v>26.639579999999995</v>
      </c>
      <c r="O175" s="76">
        <f t="shared" si="19"/>
        <v>665.98949999999991</v>
      </c>
      <c r="P175" s="73">
        <f t="shared" si="17"/>
        <v>49949.212499999994</v>
      </c>
    </row>
    <row r="176" spans="1:16" ht="25.5" x14ac:dyDescent="0.2">
      <c r="A176" s="30" t="s">
        <v>152</v>
      </c>
      <c r="B176" s="30" t="str">
        <f t="shared" si="12"/>
        <v>Agenda Správcu výberu mýtaGIS</v>
      </c>
      <c r="C176" s="30" t="s">
        <v>0</v>
      </c>
      <c r="D176" s="31" t="s">
        <v>200</v>
      </c>
      <c r="E176" s="32" t="s">
        <v>93</v>
      </c>
      <c r="F176" s="33" t="s">
        <v>34</v>
      </c>
      <c r="G176" s="30">
        <v>0</v>
      </c>
      <c r="H176">
        <f>VLOOKUP(E176,PIVOT!$B$4:$D$165,3,0)</f>
        <v>15</v>
      </c>
      <c r="I176">
        <f t="shared" si="13"/>
        <v>1</v>
      </c>
      <c r="J176">
        <f t="shared" si="14"/>
        <v>15</v>
      </c>
      <c r="K176" s="74">
        <f>VLOOKUP(B176,UAW!$D$13:$E$23,2,0)/COUNTIFS($A$3:$A$179,A176,$D$3:$D$179,D176)</f>
        <v>11.4</v>
      </c>
      <c r="L176">
        <f>VLOOKUP(D176,ECF!$B$18:$C$25,2,0)</f>
        <v>0.90499999999999992</v>
      </c>
      <c r="M176">
        <f>VLOOKUP(D176,TFC!$B$22:$C$29,2,0)</f>
        <v>1.115</v>
      </c>
      <c r="N176">
        <f t="shared" si="15"/>
        <v>26.639579999999995</v>
      </c>
      <c r="O176" s="76">
        <f t="shared" si="19"/>
        <v>665.98949999999991</v>
      </c>
      <c r="P176" s="73">
        <f t="shared" si="17"/>
        <v>49949.212499999994</v>
      </c>
    </row>
    <row r="177" spans="1:16" x14ac:dyDescent="0.2">
      <c r="A177" s="30" t="s">
        <v>152</v>
      </c>
      <c r="B177" s="30" t="str">
        <f t="shared" si="12"/>
        <v>Agenda Správcu výberu mýtaGIS</v>
      </c>
      <c r="C177" s="30" t="s">
        <v>0</v>
      </c>
      <c r="D177" s="31" t="s">
        <v>200</v>
      </c>
      <c r="E177" s="32" t="s">
        <v>94</v>
      </c>
      <c r="F177" s="33" t="s">
        <v>34</v>
      </c>
      <c r="G177" s="30">
        <v>0</v>
      </c>
      <c r="H177">
        <f>VLOOKUP(E177,PIVOT!$B$4:$D$165,3,0)</f>
        <v>15</v>
      </c>
      <c r="I177">
        <f t="shared" si="13"/>
        <v>1</v>
      </c>
      <c r="J177">
        <f t="shared" si="14"/>
        <v>15</v>
      </c>
      <c r="K177" s="74">
        <f>VLOOKUP(B177,UAW!$D$13:$E$23,2,0)/COUNTIFS($A$3:$A$179,A177,$D$3:$D$179,D177)</f>
        <v>11.4</v>
      </c>
      <c r="L177">
        <f>VLOOKUP(D177,ECF!$B$18:$C$25,2,0)</f>
        <v>0.90499999999999992</v>
      </c>
      <c r="M177">
        <f>VLOOKUP(D177,TFC!$B$22:$C$29,2,0)</f>
        <v>1.115</v>
      </c>
      <c r="N177">
        <f t="shared" si="15"/>
        <v>26.639579999999995</v>
      </c>
      <c r="O177" s="76">
        <f t="shared" si="19"/>
        <v>665.98949999999991</v>
      </c>
      <c r="P177" s="73">
        <f t="shared" si="17"/>
        <v>49949.212499999994</v>
      </c>
    </row>
    <row r="178" spans="1:16" x14ac:dyDescent="0.2">
      <c r="A178" s="30" t="s">
        <v>152</v>
      </c>
      <c r="B178" s="30" t="str">
        <f t="shared" si="12"/>
        <v>Agenda Správcu výberu mýtaGIS</v>
      </c>
      <c r="C178" s="30" t="s">
        <v>0</v>
      </c>
      <c r="D178" s="31" t="s">
        <v>200</v>
      </c>
      <c r="E178" s="32" t="s">
        <v>95</v>
      </c>
      <c r="F178" s="33" t="s">
        <v>34</v>
      </c>
      <c r="G178" s="30">
        <v>0</v>
      </c>
      <c r="H178">
        <f>VLOOKUP(E178,PIVOT!$B$4:$D$165,3,0)</f>
        <v>15</v>
      </c>
      <c r="I178">
        <f t="shared" si="13"/>
        <v>1</v>
      </c>
      <c r="J178">
        <f t="shared" si="14"/>
        <v>15</v>
      </c>
      <c r="K178" s="74">
        <f>VLOOKUP(B178,UAW!$D$13:$E$23,2,0)/COUNTIFS($A$3:$A$179,A178,$D$3:$D$179,D178)</f>
        <v>11.4</v>
      </c>
      <c r="L178">
        <f>VLOOKUP(D178,ECF!$B$18:$C$25,2,0)</f>
        <v>0.90499999999999992</v>
      </c>
      <c r="M178">
        <f>VLOOKUP(D178,TFC!$B$22:$C$29,2,0)</f>
        <v>1.115</v>
      </c>
      <c r="N178">
        <f t="shared" si="15"/>
        <v>26.639579999999995</v>
      </c>
      <c r="O178" s="76">
        <f t="shared" si="19"/>
        <v>665.98949999999991</v>
      </c>
      <c r="P178" s="73">
        <f t="shared" si="17"/>
        <v>49949.212499999994</v>
      </c>
    </row>
    <row r="179" spans="1:16" x14ac:dyDescent="0.2">
      <c r="A179" s="30" t="s">
        <v>152</v>
      </c>
      <c r="B179" s="30" t="str">
        <f t="shared" si="12"/>
        <v>Agenda Správcu výberu mýtaGIS</v>
      </c>
      <c r="C179" s="30" t="s">
        <v>0</v>
      </c>
      <c r="D179" s="31" t="s">
        <v>200</v>
      </c>
      <c r="E179" s="32" t="s">
        <v>96</v>
      </c>
      <c r="F179" s="33" t="s">
        <v>34</v>
      </c>
      <c r="G179" s="30">
        <v>3</v>
      </c>
      <c r="H179">
        <f>VLOOKUP(E179,PIVOT!$B$4:$D$165,3,0)</f>
        <v>15</v>
      </c>
      <c r="I179">
        <f t="shared" si="13"/>
        <v>3</v>
      </c>
      <c r="J179">
        <f t="shared" si="14"/>
        <v>45</v>
      </c>
      <c r="K179" s="74">
        <f>VLOOKUP(B179,UAW!$D$13:$E$23,2,0)/COUNTIFS($A$3:$A$179,A179,$D$3:$D$179,D179)</f>
        <v>11.4</v>
      </c>
      <c r="L179">
        <f>VLOOKUP(D179,ECF!$B$18:$C$25,2,0)</f>
        <v>0.90499999999999992</v>
      </c>
      <c r="M179">
        <f>VLOOKUP(D179,TFC!$B$22:$C$29,2,0)</f>
        <v>1.115</v>
      </c>
      <c r="N179">
        <f t="shared" si="15"/>
        <v>56.911829999999995</v>
      </c>
      <c r="O179" s="76">
        <f t="shared" si="19"/>
        <v>1422.7957499999998</v>
      </c>
      <c r="P179" s="73">
        <f t="shared" si="17"/>
        <v>106709.68124999998</v>
      </c>
    </row>
  </sheetData>
  <autoFilter ref="A2:J179"/>
  <pageMargins left="0.7" right="0.7" top="0.75" bottom="0.75" header="0.3" footer="0.3"/>
  <pageSetup paperSize="9" orientation="portrait" horizontalDpi="4294967293" verticalDpi="0"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"/>
  <sheetViews>
    <sheetView workbookViewId="0">
      <selection activeCell="A10" sqref="A10"/>
    </sheetView>
  </sheetViews>
  <sheetFormatPr defaultRowHeight="12.75" x14ac:dyDescent="0.2"/>
  <cols>
    <col min="2" max="2" width="58.85546875" bestFit="1" customWidth="1"/>
  </cols>
  <sheetData>
    <row r="1" spans="1:18" x14ac:dyDescent="0.2">
      <c r="A1" s="2"/>
      <c r="B1" s="27" t="s">
        <v>180</v>
      </c>
      <c r="C1" s="8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</row>
    <row r="2" spans="1:18" x14ac:dyDescent="0.2">
      <c r="A2" t="s">
        <v>192</v>
      </c>
      <c r="B2" s="6" t="s">
        <v>193</v>
      </c>
      <c r="C2" s="7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8" x14ac:dyDescent="0.2">
      <c r="A3" t="s">
        <v>194</v>
      </c>
      <c r="B3" s="6" t="s">
        <v>195</v>
      </c>
      <c r="C3" s="7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x14ac:dyDescent="0.2">
      <c r="A4" t="s">
        <v>153</v>
      </c>
      <c r="B4" s="6" t="s">
        <v>186</v>
      </c>
      <c r="C4" s="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</row>
    <row r="5" spans="1:18" x14ac:dyDescent="0.2">
      <c r="A5" t="s">
        <v>155</v>
      </c>
      <c r="B5" s="6" t="s">
        <v>187</v>
      </c>
      <c r="C5" s="7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spans="1:18" x14ac:dyDescent="0.2">
      <c r="A6" t="s">
        <v>190</v>
      </c>
      <c r="B6" s="6" t="s">
        <v>191</v>
      </c>
      <c r="C6" s="7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x14ac:dyDescent="0.2">
      <c r="A7" t="s">
        <v>202</v>
      </c>
      <c r="B7" s="6" t="s">
        <v>203</v>
      </c>
      <c r="C7" s="7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</row>
    <row r="8" spans="1:18" x14ac:dyDescent="0.2">
      <c r="A8" t="s">
        <v>179</v>
      </c>
      <c r="B8" s="6" t="s">
        <v>197</v>
      </c>
      <c r="C8" s="7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</row>
    <row r="9" spans="1:18" x14ac:dyDescent="0.2">
      <c r="A9" t="s">
        <v>200</v>
      </c>
      <c r="B9" s="6" t="s">
        <v>201</v>
      </c>
      <c r="C9" s="7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</row>
    <row r="10" spans="1:18" x14ac:dyDescent="0.2">
      <c r="A10" t="s">
        <v>160</v>
      </c>
      <c r="B10" s="6" t="s">
        <v>204</v>
      </c>
      <c r="C10" s="7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</row>
    <row r="11" spans="1:18" ht="25.5" x14ac:dyDescent="0.2">
      <c r="A11" t="s">
        <v>184</v>
      </c>
      <c r="B11" s="6" t="s">
        <v>185</v>
      </c>
      <c r="C11" s="7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</row>
    <row r="12" spans="1:18" x14ac:dyDescent="0.2">
      <c r="A12" t="s">
        <v>110</v>
      </c>
      <c r="B12" s="6" t="s">
        <v>183</v>
      </c>
      <c r="C12" s="7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</row>
    <row r="13" spans="1:18" x14ac:dyDescent="0.2">
      <c r="A13" t="s">
        <v>188</v>
      </c>
      <c r="B13" s="6" t="s">
        <v>189</v>
      </c>
      <c r="C13" s="7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</row>
    <row r="14" spans="1:18" x14ac:dyDescent="0.2">
      <c r="A14" t="s">
        <v>34</v>
      </c>
      <c r="B14" s="6" t="s">
        <v>181</v>
      </c>
      <c r="C14" s="7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</row>
    <row r="15" spans="1:18" x14ac:dyDescent="0.2">
      <c r="A15" t="s">
        <v>19</v>
      </c>
      <c r="B15" s="6" t="s">
        <v>182</v>
      </c>
      <c r="C15" s="7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</row>
    <row r="16" spans="1:18" x14ac:dyDescent="0.2">
      <c r="A16" t="s">
        <v>159</v>
      </c>
      <c r="B16" s="6" t="s">
        <v>196</v>
      </c>
      <c r="C16" s="7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4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E2" sqref="E2"/>
    </sheetView>
  </sheetViews>
  <sheetFormatPr defaultRowHeight="12.75" x14ac:dyDescent="0.2"/>
  <cols>
    <col min="2" max="2" width="60.7109375" style="6" customWidth="1"/>
    <col min="3" max="3" width="12.42578125" style="7" customWidth="1"/>
    <col min="4" max="4" width="10.42578125" style="3" customWidth="1"/>
    <col min="5" max="5" width="9.7109375" style="3" customWidth="1"/>
    <col min="6" max="6" width="8.42578125" style="3" customWidth="1"/>
    <col min="7" max="8" width="10.42578125" style="3" customWidth="1"/>
    <col min="9" max="9" width="11.5703125" style="3" customWidth="1"/>
    <col min="10" max="11" width="10.42578125" style="3" customWidth="1"/>
    <col min="12" max="12" width="11.140625" style="3" customWidth="1"/>
    <col min="13" max="13" width="7.140625" style="3" customWidth="1"/>
    <col min="14" max="14" width="6.42578125" style="3" customWidth="1"/>
    <col min="15" max="16" width="5.7109375" style="3" customWidth="1"/>
    <col min="17" max="17" width="8.28515625" style="3" customWidth="1"/>
    <col min="18" max="18" width="7.28515625" style="3" customWidth="1"/>
  </cols>
  <sheetData>
    <row r="1" spans="1:19" x14ac:dyDescent="0.2">
      <c r="D1" s="83" t="s">
        <v>20</v>
      </c>
      <c r="E1" s="83"/>
      <c r="F1" s="83"/>
      <c r="G1" s="83"/>
      <c r="H1" s="83"/>
      <c r="I1" s="83"/>
      <c r="J1" s="83"/>
      <c r="K1" s="83"/>
      <c r="L1" s="80" t="s">
        <v>177</v>
      </c>
      <c r="M1" s="80"/>
      <c r="N1" s="80"/>
      <c r="O1" s="80"/>
      <c r="P1" s="80"/>
      <c r="Q1" s="80"/>
      <c r="R1" s="80"/>
    </row>
    <row r="2" spans="1:19" ht="25.5" x14ac:dyDescent="0.2">
      <c r="D2" s="14"/>
      <c r="E2" s="17" t="s">
        <v>2</v>
      </c>
      <c r="F2" s="79" t="s">
        <v>1</v>
      </c>
      <c r="G2" s="79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</row>
    <row r="3" spans="1:19" ht="38.25" x14ac:dyDescent="0.2">
      <c r="A3" s="10"/>
      <c r="B3" s="11" t="s">
        <v>62</v>
      </c>
      <c r="C3" s="11" t="s">
        <v>18</v>
      </c>
      <c r="D3" s="12"/>
      <c r="E3" s="12" t="s">
        <v>165</v>
      </c>
      <c r="F3" s="12" t="s">
        <v>166</v>
      </c>
      <c r="G3" s="12" t="s">
        <v>167</v>
      </c>
      <c r="H3" s="12"/>
      <c r="I3" s="12"/>
      <c r="J3" s="12"/>
      <c r="K3" s="12"/>
      <c r="L3" s="10" t="s">
        <v>156</v>
      </c>
      <c r="M3" s="10" t="s">
        <v>158</v>
      </c>
      <c r="N3" s="10" t="s">
        <v>157</v>
      </c>
      <c r="O3" s="10" t="s">
        <v>159</v>
      </c>
      <c r="P3" s="10" t="s">
        <v>160</v>
      </c>
      <c r="Q3" s="12" t="s">
        <v>162</v>
      </c>
      <c r="R3" s="12" t="s">
        <v>161</v>
      </c>
      <c r="S3" s="28" t="s">
        <v>211</v>
      </c>
    </row>
    <row r="4" spans="1:19" x14ac:dyDescent="0.2">
      <c r="A4" s="82" t="s">
        <v>2</v>
      </c>
      <c r="B4" s="13" t="s">
        <v>4</v>
      </c>
      <c r="C4" s="14" t="s">
        <v>19</v>
      </c>
      <c r="D4" s="15"/>
      <c r="E4" s="15" t="s">
        <v>154</v>
      </c>
      <c r="F4" s="15"/>
      <c r="G4" s="15"/>
      <c r="H4" s="15"/>
      <c r="I4" s="15"/>
      <c r="J4" s="15"/>
      <c r="K4" s="15"/>
      <c r="L4" s="15" t="s">
        <v>154</v>
      </c>
      <c r="M4" s="15" t="s">
        <v>154</v>
      </c>
      <c r="N4" s="15" t="s">
        <v>154</v>
      </c>
      <c r="O4" s="15" t="s">
        <v>154</v>
      </c>
      <c r="P4" s="15" t="s">
        <v>154</v>
      </c>
      <c r="Q4" s="15" t="s">
        <v>154</v>
      </c>
      <c r="R4" s="15"/>
      <c r="S4">
        <f>COUNTA(L4:R4)</f>
        <v>6</v>
      </c>
    </row>
    <row r="5" spans="1:19" x14ac:dyDescent="0.2">
      <c r="A5" s="82"/>
      <c r="B5" s="13" t="s">
        <v>3</v>
      </c>
      <c r="C5" s="14" t="s">
        <v>19</v>
      </c>
      <c r="D5" s="15"/>
      <c r="E5" s="15" t="s">
        <v>154</v>
      </c>
      <c r="F5" s="15"/>
      <c r="G5" s="15"/>
      <c r="H5" s="15"/>
      <c r="I5" s="15"/>
      <c r="J5" s="15"/>
      <c r="K5" s="15"/>
      <c r="L5" s="15" t="s">
        <v>154</v>
      </c>
      <c r="M5" s="15" t="s">
        <v>154</v>
      </c>
      <c r="N5" s="15" t="s">
        <v>154</v>
      </c>
      <c r="O5" s="15" t="s">
        <v>154</v>
      </c>
      <c r="P5" s="15" t="s">
        <v>154</v>
      </c>
      <c r="Q5" s="15" t="s">
        <v>154</v>
      </c>
      <c r="R5" s="15"/>
      <c r="S5">
        <f t="shared" ref="S5:S39" si="0">COUNTA(L5:R5)</f>
        <v>6</v>
      </c>
    </row>
    <row r="6" spans="1:19" x14ac:dyDescent="0.2">
      <c r="A6" s="82"/>
      <c r="B6" s="13" t="s">
        <v>36</v>
      </c>
      <c r="C6" s="14" t="s">
        <v>19</v>
      </c>
      <c r="D6" s="15"/>
      <c r="E6" s="15" t="s">
        <v>154</v>
      </c>
      <c r="F6" s="15"/>
      <c r="G6" s="15"/>
      <c r="H6" s="15"/>
      <c r="I6" s="15"/>
      <c r="J6" s="15"/>
      <c r="K6" s="15"/>
      <c r="L6" s="15" t="s">
        <v>154</v>
      </c>
      <c r="M6" s="15" t="s">
        <v>154</v>
      </c>
      <c r="N6" s="15" t="s">
        <v>154</v>
      </c>
      <c r="O6" s="15"/>
      <c r="P6" s="15"/>
      <c r="Q6" s="15"/>
      <c r="R6" s="15" t="s">
        <v>154</v>
      </c>
      <c r="S6">
        <f t="shared" si="0"/>
        <v>4</v>
      </c>
    </row>
    <row r="7" spans="1:19" x14ac:dyDescent="0.2">
      <c r="A7" s="82"/>
      <c r="B7" s="13" t="s">
        <v>9</v>
      </c>
      <c r="C7" s="14" t="s">
        <v>19</v>
      </c>
      <c r="D7" s="15"/>
      <c r="E7" s="15" t="s">
        <v>154</v>
      </c>
      <c r="F7" s="15"/>
      <c r="G7" s="15"/>
      <c r="H7" s="15"/>
      <c r="I7" s="15"/>
      <c r="J7" s="15"/>
      <c r="K7" s="15"/>
      <c r="L7" s="15" t="s">
        <v>154</v>
      </c>
      <c r="M7" s="15" t="s">
        <v>154</v>
      </c>
      <c r="N7" s="15" t="s">
        <v>154</v>
      </c>
      <c r="O7" s="15" t="s">
        <v>154</v>
      </c>
      <c r="P7" s="15" t="s">
        <v>154</v>
      </c>
      <c r="Q7" s="15"/>
      <c r="R7" s="15"/>
      <c r="S7">
        <f t="shared" si="0"/>
        <v>5</v>
      </c>
    </row>
    <row r="8" spans="1:19" x14ac:dyDescent="0.2">
      <c r="A8" s="82"/>
      <c r="B8" s="13" t="s">
        <v>5</v>
      </c>
      <c r="C8" s="14" t="s">
        <v>19</v>
      </c>
      <c r="D8" s="15"/>
      <c r="E8" s="15" t="s">
        <v>154</v>
      </c>
      <c r="F8" s="15"/>
      <c r="G8" s="15"/>
      <c r="H8" s="15"/>
      <c r="I8" s="15"/>
      <c r="J8" s="15"/>
      <c r="K8" s="15"/>
      <c r="L8" s="15" t="s">
        <v>154</v>
      </c>
      <c r="M8" s="15" t="s">
        <v>154</v>
      </c>
      <c r="N8" s="15" t="s">
        <v>154</v>
      </c>
      <c r="O8" s="15" t="s">
        <v>154</v>
      </c>
      <c r="P8" s="15" t="s">
        <v>154</v>
      </c>
      <c r="Q8" s="15"/>
      <c r="R8" s="15"/>
      <c r="S8">
        <f t="shared" si="0"/>
        <v>5</v>
      </c>
    </row>
    <row r="9" spans="1:19" x14ac:dyDescent="0.2">
      <c r="A9" s="82"/>
      <c r="B9" s="13" t="s">
        <v>6</v>
      </c>
      <c r="C9" s="14" t="s">
        <v>19</v>
      </c>
      <c r="D9" s="15"/>
      <c r="E9" s="15" t="s">
        <v>154</v>
      </c>
      <c r="F9" s="15"/>
      <c r="G9" s="15"/>
      <c r="H9" s="15"/>
      <c r="I9" s="15"/>
      <c r="J9" s="15"/>
      <c r="K9" s="15"/>
      <c r="L9" s="15" t="s">
        <v>154</v>
      </c>
      <c r="M9" s="15" t="s">
        <v>154</v>
      </c>
      <c r="N9" s="15" t="s">
        <v>154</v>
      </c>
      <c r="O9" s="15" t="s">
        <v>154</v>
      </c>
      <c r="P9" s="15" t="s">
        <v>154</v>
      </c>
      <c r="Q9" s="15"/>
      <c r="R9" s="15"/>
      <c r="S9">
        <f t="shared" si="0"/>
        <v>5</v>
      </c>
    </row>
    <row r="10" spans="1:19" ht="25.5" x14ac:dyDescent="0.2">
      <c r="A10" s="82"/>
      <c r="B10" s="13" t="s">
        <v>13</v>
      </c>
      <c r="C10" s="14" t="s">
        <v>19</v>
      </c>
      <c r="D10" s="15"/>
      <c r="E10" s="15" t="s">
        <v>154</v>
      </c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>
        <f t="shared" si="0"/>
        <v>0</v>
      </c>
    </row>
    <row r="11" spans="1:19" x14ac:dyDescent="0.2">
      <c r="A11" s="82"/>
      <c r="B11" s="13" t="s">
        <v>35</v>
      </c>
      <c r="C11" s="14" t="s">
        <v>19</v>
      </c>
      <c r="D11" s="15"/>
      <c r="E11" s="15" t="s">
        <v>154</v>
      </c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>
        <f t="shared" si="0"/>
        <v>0</v>
      </c>
    </row>
    <row r="12" spans="1:19" x14ac:dyDescent="0.2">
      <c r="A12" s="82"/>
      <c r="B12" s="13" t="s">
        <v>15</v>
      </c>
      <c r="C12" s="14" t="s">
        <v>19</v>
      </c>
      <c r="D12" s="15"/>
      <c r="E12" s="15" t="s">
        <v>154</v>
      </c>
      <c r="F12" s="15"/>
      <c r="G12" s="15"/>
      <c r="H12" s="15"/>
      <c r="I12" s="15"/>
      <c r="J12" s="15"/>
      <c r="K12" s="15"/>
      <c r="L12" s="15" t="s">
        <v>154</v>
      </c>
      <c r="M12" s="15" t="s">
        <v>154</v>
      </c>
      <c r="N12" s="15" t="s">
        <v>154</v>
      </c>
      <c r="O12" s="15" t="s">
        <v>154</v>
      </c>
      <c r="P12" s="15" t="s">
        <v>154</v>
      </c>
      <c r="Q12" s="15" t="s">
        <v>154</v>
      </c>
      <c r="R12" s="15"/>
      <c r="S12">
        <f t="shared" si="0"/>
        <v>6</v>
      </c>
    </row>
    <row r="13" spans="1:19" x14ac:dyDescent="0.2">
      <c r="A13" s="82"/>
      <c r="B13" s="13" t="s">
        <v>17</v>
      </c>
      <c r="C13" s="14" t="s">
        <v>19</v>
      </c>
      <c r="D13" s="15"/>
      <c r="E13" s="15" t="s">
        <v>154</v>
      </c>
      <c r="F13" s="15"/>
      <c r="G13" s="15"/>
      <c r="H13" s="15"/>
      <c r="I13" s="15"/>
      <c r="J13" s="15"/>
      <c r="K13" s="15"/>
      <c r="L13" s="15" t="s">
        <v>154</v>
      </c>
      <c r="M13" s="15" t="s">
        <v>154</v>
      </c>
      <c r="N13" s="15" t="s">
        <v>154</v>
      </c>
      <c r="O13" s="15" t="s">
        <v>154</v>
      </c>
      <c r="P13" s="15" t="s">
        <v>154</v>
      </c>
      <c r="Q13" s="15" t="s">
        <v>154</v>
      </c>
      <c r="R13" s="15"/>
      <c r="S13">
        <f t="shared" si="0"/>
        <v>6</v>
      </c>
    </row>
    <row r="14" spans="1:19" x14ac:dyDescent="0.2">
      <c r="A14" s="82"/>
      <c r="B14" s="13" t="s">
        <v>7</v>
      </c>
      <c r="C14" s="14" t="s">
        <v>19</v>
      </c>
      <c r="D14" s="15"/>
      <c r="E14" s="15" t="s">
        <v>154</v>
      </c>
      <c r="F14" s="15"/>
      <c r="G14" s="15"/>
      <c r="H14" s="15"/>
      <c r="I14" s="15"/>
      <c r="J14" s="15"/>
      <c r="K14" s="15"/>
      <c r="L14" s="15" t="s">
        <v>154</v>
      </c>
      <c r="M14" s="15" t="s">
        <v>154</v>
      </c>
      <c r="N14" s="15" t="s">
        <v>154</v>
      </c>
      <c r="O14" s="15" t="s">
        <v>154</v>
      </c>
      <c r="P14" s="15" t="s">
        <v>154</v>
      </c>
      <c r="Q14" s="15" t="s">
        <v>154</v>
      </c>
      <c r="R14" s="15"/>
      <c r="S14">
        <f t="shared" si="0"/>
        <v>6</v>
      </c>
    </row>
    <row r="15" spans="1:19" ht="25.5" x14ac:dyDescent="0.2">
      <c r="A15" s="82"/>
      <c r="B15" s="13" t="s">
        <v>10</v>
      </c>
      <c r="C15" s="14" t="s">
        <v>19</v>
      </c>
      <c r="D15" s="15"/>
      <c r="E15" s="15" t="s">
        <v>154</v>
      </c>
      <c r="F15" s="15"/>
      <c r="G15" s="15"/>
      <c r="H15" s="15"/>
      <c r="I15" s="15"/>
      <c r="J15" s="15"/>
      <c r="K15" s="15"/>
      <c r="L15" s="15" t="s">
        <v>154</v>
      </c>
      <c r="M15" s="15" t="s">
        <v>154</v>
      </c>
      <c r="N15" s="15" t="s">
        <v>154</v>
      </c>
      <c r="O15" s="15"/>
      <c r="P15" s="15"/>
      <c r="Q15" s="15"/>
      <c r="R15" s="15"/>
      <c r="S15">
        <f t="shared" si="0"/>
        <v>3</v>
      </c>
    </row>
    <row r="16" spans="1:19" ht="25.5" x14ac:dyDescent="0.2">
      <c r="A16" s="82"/>
      <c r="B16" s="13" t="s">
        <v>37</v>
      </c>
      <c r="C16" s="14" t="s">
        <v>19</v>
      </c>
      <c r="D16" s="15"/>
      <c r="E16" s="15" t="s">
        <v>154</v>
      </c>
      <c r="F16" s="15"/>
      <c r="G16" s="15"/>
      <c r="H16" s="15"/>
      <c r="I16" s="15"/>
      <c r="J16" s="15"/>
      <c r="K16" s="15"/>
      <c r="L16" s="15" t="s">
        <v>154</v>
      </c>
      <c r="M16" s="15" t="s">
        <v>154</v>
      </c>
      <c r="N16" s="15" t="s">
        <v>154</v>
      </c>
      <c r="O16" s="15"/>
      <c r="P16" s="15"/>
      <c r="Q16" s="15"/>
      <c r="R16" s="15" t="s">
        <v>154</v>
      </c>
      <c r="S16">
        <f t="shared" si="0"/>
        <v>4</v>
      </c>
    </row>
    <row r="17" spans="1:19" ht="25.5" x14ac:dyDescent="0.2">
      <c r="A17" s="82"/>
      <c r="B17" s="13" t="s">
        <v>12</v>
      </c>
      <c r="C17" s="14" t="s">
        <v>19</v>
      </c>
      <c r="D17" s="15"/>
      <c r="E17" s="15" t="s">
        <v>154</v>
      </c>
      <c r="F17" s="15"/>
      <c r="G17" s="15"/>
      <c r="H17" s="15"/>
      <c r="I17" s="15"/>
      <c r="J17" s="15"/>
      <c r="K17" s="15"/>
      <c r="L17" s="15" t="s">
        <v>154</v>
      </c>
      <c r="M17" s="15" t="s">
        <v>154</v>
      </c>
      <c r="N17" s="15" t="s">
        <v>154</v>
      </c>
      <c r="O17" s="15"/>
      <c r="P17" s="15"/>
      <c r="Q17" s="15"/>
      <c r="R17" s="15"/>
      <c r="S17">
        <f t="shared" si="0"/>
        <v>3</v>
      </c>
    </row>
    <row r="18" spans="1:19" ht="25.5" x14ac:dyDescent="0.2">
      <c r="A18" s="82"/>
      <c r="B18" s="13" t="s">
        <v>8</v>
      </c>
      <c r="C18" s="14" t="s">
        <v>19</v>
      </c>
      <c r="D18" s="15"/>
      <c r="E18" s="15" t="s">
        <v>154</v>
      </c>
      <c r="F18" s="15"/>
      <c r="G18" s="15"/>
      <c r="H18" s="15"/>
      <c r="I18" s="15"/>
      <c r="J18" s="15"/>
      <c r="K18" s="15"/>
      <c r="L18" s="15" t="s">
        <v>154</v>
      </c>
      <c r="M18" s="15" t="s">
        <v>154</v>
      </c>
      <c r="N18" s="15" t="s">
        <v>154</v>
      </c>
      <c r="O18" s="15" t="s">
        <v>154</v>
      </c>
      <c r="P18" s="15" t="s">
        <v>154</v>
      </c>
      <c r="Q18" s="15" t="s">
        <v>154</v>
      </c>
      <c r="R18" s="15"/>
      <c r="S18">
        <f t="shared" si="0"/>
        <v>6</v>
      </c>
    </row>
    <row r="19" spans="1:19" x14ac:dyDescent="0.2">
      <c r="A19" s="82"/>
      <c r="B19" s="13" t="s">
        <v>47</v>
      </c>
      <c r="C19" s="14" t="s">
        <v>19</v>
      </c>
      <c r="D19" s="15"/>
      <c r="E19" s="15" t="s">
        <v>154</v>
      </c>
      <c r="F19" s="15"/>
      <c r="G19" s="15"/>
      <c r="H19" s="15"/>
      <c r="I19" s="15"/>
      <c r="J19" s="15"/>
      <c r="K19" s="15"/>
      <c r="L19" s="15" t="s">
        <v>154</v>
      </c>
      <c r="M19" s="15" t="s">
        <v>154</v>
      </c>
      <c r="N19" s="15" t="s">
        <v>154</v>
      </c>
      <c r="O19" s="15" t="s">
        <v>154</v>
      </c>
      <c r="P19" s="15" t="s">
        <v>154</v>
      </c>
      <c r="Q19" s="15" t="s">
        <v>154</v>
      </c>
      <c r="R19" s="15"/>
      <c r="S19">
        <f t="shared" si="0"/>
        <v>6</v>
      </c>
    </row>
    <row r="20" spans="1:19" x14ac:dyDescent="0.2">
      <c r="A20" s="82"/>
      <c r="B20" s="13" t="s">
        <v>48</v>
      </c>
      <c r="C20" s="14" t="s">
        <v>19</v>
      </c>
      <c r="D20" s="15"/>
      <c r="E20" s="15" t="s">
        <v>154</v>
      </c>
      <c r="F20" s="15"/>
      <c r="G20" s="15"/>
      <c r="H20" s="15"/>
      <c r="I20" s="15"/>
      <c r="J20" s="15"/>
      <c r="K20" s="15"/>
      <c r="L20" s="15" t="s">
        <v>154</v>
      </c>
      <c r="M20" s="15" t="s">
        <v>154</v>
      </c>
      <c r="N20" s="15" t="s">
        <v>154</v>
      </c>
      <c r="O20" s="15" t="s">
        <v>154</v>
      </c>
      <c r="P20" s="15" t="s">
        <v>154</v>
      </c>
      <c r="Q20" s="15" t="s">
        <v>154</v>
      </c>
      <c r="R20" s="15"/>
      <c r="S20">
        <f t="shared" si="0"/>
        <v>6</v>
      </c>
    </row>
    <row r="21" spans="1:19" x14ac:dyDescent="0.2">
      <c r="A21" s="82"/>
      <c r="B21" s="13" t="s">
        <v>49</v>
      </c>
      <c r="C21" s="14" t="s">
        <v>19</v>
      </c>
      <c r="D21" s="15"/>
      <c r="E21" s="15" t="s">
        <v>154</v>
      </c>
      <c r="F21" s="15"/>
      <c r="G21" s="15"/>
      <c r="H21" s="15"/>
      <c r="I21" s="15"/>
      <c r="J21" s="15"/>
      <c r="K21" s="15"/>
      <c r="L21" s="15" t="s">
        <v>154</v>
      </c>
      <c r="M21" s="15" t="s">
        <v>154</v>
      </c>
      <c r="N21" s="15" t="s">
        <v>154</v>
      </c>
      <c r="O21" s="15" t="s">
        <v>154</v>
      </c>
      <c r="P21" s="15" t="s">
        <v>154</v>
      </c>
      <c r="Q21" s="15" t="s">
        <v>154</v>
      </c>
      <c r="R21" s="15"/>
      <c r="S21">
        <f t="shared" si="0"/>
        <v>6</v>
      </c>
    </row>
    <row r="22" spans="1:19" x14ac:dyDescent="0.2">
      <c r="A22" s="82"/>
      <c r="B22" s="13" t="s">
        <v>14</v>
      </c>
      <c r="C22" s="14" t="s">
        <v>19</v>
      </c>
      <c r="D22" s="15"/>
      <c r="E22" s="15" t="s">
        <v>154</v>
      </c>
      <c r="F22" s="15"/>
      <c r="G22" s="15"/>
      <c r="H22" s="15"/>
      <c r="I22" s="15"/>
      <c r="J22" s="15"/>
      <c r="K22" s="15"/>
      <c r="L22" s="15" t="s">
        <v>154</v>
      </c>
      <c r="M22" s="15" t="s">
        <v>154</v>
      </c>
      <c r="N22" s="15" t="s">
        <v>154</v>
      </c>
      <c r="O22" s="15" t="s">
        <v>154</v>
      </c>
      <c r="P22" s="15" t="s">
        <v>154</v>
      </c>
      <c r="Q22" s="15" t="s">
        <v>154</v>
      </c>
      <c r="R22" s="15"/>
      <c r="S22">
        <f t="shared" si="0"/>
        <v>6</v>
      </c>
    </row>
    <row r="23" spans="1:19" ht="25.5" x14ac:dyDescent="0.2">
      <c r="A23" s="82"/>
      <c r="B23" s="13" t="s">
        <v>26</v>
      </c>
      <c r="C23" s="14" t="s">
        <v>19</v>
      </c>
      <c r="D23" s="15"/>
      <c r="E23" s="15"/>
      <c r="F23" s="15" t="s">
        <v>154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>
        <f t="shared" si="0"/>
        <v>0</v>
      </c>
    </row>
    <row r="24" spans="1:19" x14ac:dyDescent="0.2">
      <c r="A24" s="82"/>
      <c r="B24" s="13" t="s">
        <v>163</v>
      </c>
      <c r="C24" s="14" t="s">
        <v>19</v>
      </c>
      <c r="D24" s="15"/>
      <c r="E24" s="15" t="s">
        <v>154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>
        <f t="shared" si="0"/>
        <v>0</v>
      </c>
    </row>
    <row r="25" spans="1:19" x14ac:dyDescent="0.2">
      <c r="A25" s="82"/>
      <c r="B25" s="13" t="s">
        <v>21</v>
      </c>
      <c r="C25" s="14" t="s">
        <v>19</v>
      </c>
      <c r="D25" s="15"/>
      <c r="E25" s="16"/>
      <c r="F25" s="15" t="s">
        <v>154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>
        <f t="shared" si="0"/>
        <v>0</v>
      </c>
    </row>
    <row r="26" spans="1:19" x14ac:dyDescent="0.2">
      <c r="A26" s="82"/>
      <c r="B26" s="13" t="s">
        <v>22</v>
      </c>
      <c r="C26" s="14" t="s">
        <v>19</v>
      </c>
      <c r="D26" s="15"/>
      <c r="E26" s="15" t="s">
        <v>154</v>
      </c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>
        <f t="shared" si="0"/>
        <v>0</v>
      </c>
    </row>
    <row r="27" spans="1:19" ht="25.5" x14ac:dyDescent="0.2">
      <c r="A27" s="82"/>
      <c r="B27" s="13" t="s">
        <v>23</v>
      </c>
      <c r="C27" s="14" t="s">
        <v>19</v>
      </c>
      <c r="D27" s="15"/>
      <c r="E27" s="15" t="s">
        <v>154</v>
      </c>
      <c r="F27" s="15" t="s">
        <v>154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>
        <f t="shared" si="0"/>
        <v>0</v>
      </c>
    </row>
    <row r="28" spans="1:19" ht="25.5" x14ac:dyDescent="0.2">
      <c r="A28" s="82"/>
      <c r="B28" s="13" t="s">
        <v>24</v>
      </c>
      <c r="C28" s="14" t="s">
        <v>19</v>
      </c>
      <c r="D28" s="15"/>
      <c r="E28" s="15" t="s">
        <v>154</v>
      </c>
      <c r="F28" s="15" t="s">
        <v>154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>
        <f t="shared" si="0"/>
        <v>0</v>
      </c>
    </row>
    <row r="29" spans="1:19" x14ac:dyDescent="0.2">
      <c r="A29" s="82"/>
      <c r="B29" s="13" t="s">
        <v>27</v>
      </c>
      <c r="C29" s="14" t="s">
        <v>19</v>
      </c>
      <c r="D29" s="15"/>
      <c r="E29" s="15" t="s">
        <v>154</v>
      </c>
      <c r="F29" s="15" t="s">
        <v>154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>
        <f t="shared" si="0"/>
        <v>0</v>
      </c>
    </row>
    <row r="30" spans="1:19" x14ac:dyDescent="0.2">
      <c r="A30" s="82"/>
      <c r="B30" s="13" t="s">
        <v>25</v>
      </c>
      <c r="C30" s="14" t="s">
        <v>19</v>
      </c>
      <c r="D30" s="15"/>
      <c r="E30" s="15" t="s">
        <v>154</v>
      </c>
      <c r="F30" s="15" t="s">
        <v>154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>
        <f t="shared" si="0"/>
        <v>0</v>
      </c>
    </row>
    <row r="31" spans="1:19" x14ac:dyDescent="0.2">
      <c r="A31" s="82"/>
      <c r="B31" s="13" t="s">
        <v>28</v>
      </c>
      <c r="C31" s="14" t="s">
        <v>19</v>
      </c>
      <c r="D31" s="15"/>
      <c r="E31" s="15" t="s">
        <v>154</v>
      </c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>
        <f t="shared" si="0"/>
        <v>0</v>
      </c>
    </row>
    <row r="32" spans="1:19" x14ac:dyDescent="0.2">
      <c r="A32" s="82"/>
      <c r="B32" s="13" t="s">
        <v>29</v>
      </c>
      <c r="C32" s="14" t="s">
        <v>19</v>
      </c>
      <c r="D32" s="15"/>
      <c r="E32" s="15" t="s">
        <v>154</v>
      </c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>
        <f t="shared" si="0"/>
        <v>0</v>
      </c>
    </row>
    <row r="33" spans="1:19" x14ac:dyDescent="0.2">
      <c r="A33" s="82"/>
      <c r="B33" s="13" t="s">
        <v>30</v>
      </c>
      <c r="C33" s="14" t="s">
        <v>19</v>
      </c>
      <c r="D33" s="15"/>
      <c r="E33" s="15" t="s">
        <v>154</v>
      </c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>
        <f t="shared" si="0"/>
        <v>0</v>
      </c>
    </row>
    <row r="34" spans="1:19" ht="25.5" x14ac:dyDescent="0.2">
      <c r="A34" s="82"/>
      <c r="B34" s="13" t="s">
        <v>31</v>
      </c>
      <c r="C34" s="14" t="s">
        <v>19</v>
      </c>
      <c r="D34" s="15"/>
      <c r="E34" s="15" t="s">
        <v>154</v>
      </c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>
        <f t="shared" si="0"/>
        <v>0</v>
      </c>
    </row>
    <row r="35" spans="1:19" x14ac:dyDescent="0.2">
      <c r="A35" s="82"/>
      <c r="B35" s="13" t="s">
        <v>41</v>
      </c>
      <c r="C35" s="14" t="s">
        <v>19</v>
      </c>
      <c r="D35" s="15"/>
      <c r="E35" s="15"/>
      <c r="F35" s="15"/>
      <c r="G35" s="15" t="s">
        <v>154</v>
      </c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>
        <f t="shared" si="0"/>
        <v>0</v>
      </c>
    </row>
    <row r="36" spans="1:19" x14ac:dyDescent="0.2">
      <c r="A36" s="82"/>
      <c r="B36" s="13" t="s">
        <v>67</v>
      </c>
      <c r="C36" s="14" t="s">
        <v>19</v>
      </c>
      <c r="D36" s="15"/>
      <c r="E36" s="15"/>
      <c r="F36" s="15"/>
      <c r="G36" s="15" t="s">
        <v>154</v>
      </c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>
        <f t="shared" si="0"/>
        <v>0</v>
      </c>
    </row>
    <row r="37" spans="1:19" x14ac:dyDescent="0.2">
      <c r="A37" s="82"/>
      <c r="B37" s="13" t="s">
        <v>111</v>
      </c>
      <c r="C37" s="14" t="s">
        <v>19</v>
      </c>
      <c r="D37" s="15"/>
      <c r="E37" s="15" t="s">
        <v>154</v>
      </c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>
        <f t="shared" si="0"/>
        <v>0</v>
      </c>
    </row>
    <row r="38" spans="1:19" x14ac:dyDescent="0.2">
      <c r="A38" s="82"/>
      <c r="B38" s="13" t="s">
        <v>112</v>
      </c>
      <c r="C38" s="14" t="s">
        <v>19</v>
      </c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 t="s">
        <v>154</v>
      </c>
      <c r="R38" s="15"/>
      <c r="S38">
        <f t="shared" si="0"/>
        <v>1</v>
      </c>
    </row>
    <row r="39" spans="1:19" ht="25.5" x14ac:dyDescent="0.2">
      <c r="A39" s="82"/>
      <c r="B39" s="13" t="s">
        <v>113</v>
      </c>
      <c r="C39" s="14" t="s">
        <v>19</v>
      </c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 t="s">
        <v>154</v>
      </c>
      <c r="P39" s="15" t="s">
        <v>154</v>
      </c>
      <c r="Q39" s="15"/>
      <c r="R39" s="15"/>
      <c r="S39">
        <f t="shared" si="0"/>
        <v>2</v>
      </c>
    </row>
    <row r="40" spans="1:19" x14ac:dyDescent="0.2">
      <c r="A40" s="1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</row>
    <row r="42" spans="1:19" ht="38.25" customHeight="1" x14ac:dyDescent="0.2"/>
    <row r="44" spans="1:19" ht="12.75" customHeight="1" x14ac:dyDescent="0.2"/>
  </sheetData>
  <autoFilter ref="B3:S39"/>
  <mergeCells count="5">
    <mergeCell ref="F2:G2"/>
    <mergeCell ref="L1:R1"/>
    <mergeCell ref="H2:R2"/>
    <mergeCell ref="A4:A39"/>
    <mergeCell ref="D1:K1"/>
  </mergeCells>
  <pageMargins left="0.7" right="0.7" top="0.75" bottom="0.75" header="0.3" footer="0.3"/>
  <pageSetup paperSize="9" scale="68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66"/>
  <sheetViews>
    <sheetView topLeftCell="A2" workbookViewId="0">
      <selection activeCell="B24" sqref="B24"/>
    </sheetView>
  </sheetViews>
  <sheetFormatPr defaultRowHeight="12.75" x14ac:dyDescent="0.2"/>
  <cols>
    <col min="1" max="1" width="22.5703125" bestFit="1" customWidth="1"/>
    <col min="2" max="2" width="75.7109375" customWidth="1"/>
    <col min="3" max="4" width="12.28515625" customWidth="1"/>
  </cols>
  <sheetData>
    <row r="3" spans="1:4" x14ac:dyDescent="0.2">
      <c r="A3" s="37" t="s">
        <v>209</v>
      </c>
      <c r="B3" s="37" t="s">
        <v>210</v>
      </c>
      <c r="C3" t="s">
        <v>224</v>
      </c>
      <c r="D3" s="75" t="s">
        <v>218</v>
      </c>
    </row>
    <row r="4" spans="1:4" x14ac:dyDescent="0.2">
      <c r="A4" t="s">
        <v>155</v>
      </c>
      <c r="B4" t="s">
        <v>63</v>
      </c>
      <c r="C4" s="38">
        <v>1</v>
      </c>
      <c r="D4">
        <v>5</v>
      </c>
    </row>
    <row r="5" spans="1:4" x14ac:dyDescent="0.2">
      <c r="B5" t="s">
        <v>66</v>
      </c>
      <c r="C5" s="38">
        <v>1</v>
      </c>
      <c r="D5">
        <v>10</v>
      </c>
    </row>
    <row r="6" spans="1:4" x14ac:dyDescent="0.2">
      <c r="B6" t="s">
        <v>74</v>
      </c>
      <c r="C6" s="38">
        <v>1</v>
      </c>
      <c r="D6">
        <v>5</v>
      </c>
    </row>
    <row r="7" spans="1:4" x14ac:dyDescent="0.2">
      <c r="B7" t="s">
        <v>75</v>
      </c>
      <c r="C7" s="38">
        <v>1</v>
      </c>
      <c r="D7">
        <v>5</v>
      </c>
    </row>
    <row r="8" spans="1:4" x14ac:dyDescent="0.2">
      <c r="B8" t="s">
        <v>38</v>
      </c>
      <c r="C8" s="38">
        <v>1</v>
      </c>
      <c r="D8">
        <v>5</v>
      </c>
    </row>
    <row r="9" spans="1:4" x14ac:dyDescent="0.2">
      <c r="B9" t="s">
        <v>36</v>
      </c>
      <c r="C9" s="38">
        <v>1</v>
      </c>
      <c r="D9">
        <v>5</v>
      </c>
    </row>
    <row r="10" spans="1:4" x14ac:dyDescent="0.2">
      <c r="B10" t="s">
        <v>51</v>
      </c>
      <c r="C10" s="38">
        <v>1</v>
      </c>
      <c r="D10">
        <v>5</v>
      </c>
    </row>
    <row r="11" spans="1:4" x14ac:dyDescent="0.2">
      <c r="B11" t="s">
        <v>28</v>
      </c>
      <c r="C11" s="38">
        <v>1</v>
      </c>
      <c r="D11">
        <v>5</v>
      </c>
    </row>
    <row r="12" spans="1:4" x14ac:dyDescent="0.2">
      <c r="B12" t="s">
        <v>14</v>
      </c>
      <c r="C12" s="38">
        <v>2</v>
      </c>
      <c r="D12">
        <v>5</v>
      </c>
    </row>
    <row r="13" spans="1:4" x14ac:dyDescent="0.2">
      <c r="B13" t="s">
        <v>49</v>
      </c>
      <c r="C13" s="38">
        <v>2</v>
      </c>
      <c r="D13">
        <v>10</v>
      </c>
    </row>
    <row r="14" spans="1:4" x14ac:dyDescent="0.2">
      <c r="B14" t="s">
        <v>99</v>
      </c>
      <c r="C14" s="38">
        <v>1</v>
      </c>
      <c r="D14">
        <v>10</v>
      </c>
    </row>
    <row r="15" spans="1:4" x14ac:dyDescent="0.2">
      <c r="B15" t="s">
        <v>100</v>
      </c>
      <c r="C15" s="38">
        <v>1</v>
      </c>
      <c r="D15">
        <v>10</v>
      </c>
    </row>
    <row r="16" spans="1:4" x14ac:dyDescent="0.2">
      <c r="B16" t="s">
        <v>48</v>
      </c>
      <c r="C16" s="38">
        <v>1</v>
      </c>
      <c r="D16">
        <v>5</v>
      </c>
    </row>
    <row r="17" spans="2:4" x14ac:dyDescent="0.2">
      <c r="B17" t="s">
        <v>73</v>
      </c>
      <c r="C17" s="38">
        <v>1</v>
      </c>
      <c r="D17">
        <v>5</v>
      </c>
    </row>
    <row r="18" spans="2:4" x14ac:dyDescent="0.2">
      <c r="B18" t="s">
        <v>47</v>
      </c>
      <c r="C18" s="38">
        <v>2</v>
      </c>
      <c r="D18">
        <v>5</v>
      </c>
    </row>
    <row r="19" spans="2:4" x14ac:dyDescent="0.2">
      <c r="B19" t="s">
        <v>40</v>
      </c>
      <c r="C19" s="38">
        <v>1</v>
      </c>
      <c r="D19">
        <v>10</v>
      </c>
    </row>
    <row r="20" spans="2:4" x14ac:dyDescent="0.2">
      <c r="B20" t="s">
        <v>77</v>
      </c>
      <c r="C20" s="38">
        <v>1</v>
      </c>
      <c r="D20">
        <v>10</v>
      </c>
    </row>
    <row r="21" spans="2:4" x14ac:dyDescent="0.2">
      <c r="B21" t="s">
        <v>65</v>
      </c>
      <c r="C21" s="38">
        <v>1</v>
      </c>
      <c r="D21">
        <v>5</v>
      </c>
    </row>
    <row r="22" spans="2:4" x14ac:dyDescent="0.2">
      <c r="B22" t="s">
        <v>32</v>
      </c>
      <c r="C22" s="38">
        <v>1</v>
      </c>
      <c r="D22">
        <v>10</v>
      </c>
    </row>
    <row r="23" spans="2:4" x14ac:dyDescent="0.2">
      <c r="B23" t="s">
        <v>4</v>
      </c>
      <c r="C23" s="38">
        <v>1</v>
      </c>
      <c r="D23">
        <v>10</v>
      </c>
    </row>
    <row r="24" spans="2:4" x14ac:dyDescent="0.2">
      <c r="B24" t="s">
        <v>55</v>
      </c>
      <c r="C24" s="38">
        <v>2</v>
      </c>
      <c r="D24">
        <v>15</v>
      </c>
    </row>
    <row r="25" spans="2:4" x14ac:dyDescent="0.2">
      <c r="B25" t="s">
        <v>54</v>
      </c>
      <c r="C25" s="38">
        <v>2</v>
      </c>
      <c r="D25">
        <v>15</v>
      </c>
    </row>
    <row r="26" spans="2:4" x14ac:dyDescent="0.2">
      <c r="B26" t="s">
        <v>45</v>
      </c>
      <c r="C26" s="38">
        <v>1</v>
      </c>
      <c r="D26">
        <v>5</v>
      </c>
    </row>
    <row r="27" spans="2:4" x14ac:dyDescent="0.2">
      <c r="B27" t="s">
        <v>37</v>
      </c>
      <c r="C27" s="38">
        <v>1</v>
      </c>
      <c r="D27">
        <v>5</v>
      </c>
    </row>
    <row r="28" spans="2:4" x14ac:dyDescent="0.2">
      <c r="B28" t="s">
        <v>111</v>
      </c>
      <c r="C28" s="38">
        <v>1</v>
      </c>
      <c r="D28">
        <v>10</v>
      </c>
    </row>
    <row r="29" spans="2:4" x14ac:dyDescent="0.2">
      <c r="B29" t="s">
        <v>6</v>
      </c>
      <c r="C29" s="38">
        <v>1</v>
      </c>
      <c r="D29">
        <v>10</v>
      </c>
    </row>
    <row r="30" spans="2:4" x14ac:dyDescent="0.2">
      <c r="B30" t="s">
        <v>5</v>
      </c>
      <c r="C30" s="38">
        <v>1</v>
      </c>
      <c r="D30">
        <v>10</v>
      </c>
    </row>
    <row r="31" spans="2:4" x14ac:dyDescent="0.2">
      <c r="B31" t="s">
        <v>84</v>
      </c>
      <c r="C31" s="38">
        <v>1</v>
      </c>
      <c r="D31">
        <v>10</v>
      </c>
    </row>
    <row r="32" spans="2:4" x14ac:dyDescent="0.2">
      <c r="B32" t="s">
        <v>44</v>
      </c>
      <c r="C32" s="38">
        <v>1</v>
      </c>
      <c r="D32">
        <v>10</v>
      </c>
    </row>
    <row r="33" spans="2:4" x14ac:dyDescent="0.2">
      <c r="B33" t="s">
        <v>7</v>
      </c>
      <c r="C33" s="38">
        <v>1</v>
      </c>
      <c r="D33">
        <v>10</v>
      </c>
    </row>
    <row r="34" spans="2:4" x14ac:dyDescent="0.2">
      <c r="B34" t="s">
        <v>87</v>
      </c>
      <c r="C34" s="38">
        <v>1</v>
      </c>
      <c r="D34">
        <v>10</v>
      </c>
    </row>
    <row r="35" spans="2:4" x14ac:dyDescent="0.2">
      <c r="B35" t="s">
        <v>46</v>
      </c>
      <c r="C35" s="38">
        <v>1</v>
      </c>
      <c r="D35">
        <v>10</v>
      </c>
    </row>
    <row r="36" spans="2:4" x14ac:dyDescent="0.2">
      <c r="B36" t="s">
        <v>8</v>
      </c>
      <c r="C36" s="38">
        <v>1</v>
      </c>
      <c r="D36">
        <v>10</v>
      </c>
    </row>
    <row r="37" spans="2:4" x14ac:dyDescent="0.2">
      <c r="B37" t="s">
        <v>52</v>
      </c>
      <c r="C37" s="38">
        <v>1</v>
      </c>
      <c r="D37">
        <v>10</v>
      </c>
    </row>
    <row r="38" spans="2:4" x14ac:dyDescent="0.2">
      <c r="B38" t="s">
        <v>102</v>
      </c>
      <c r="C38" s="38">
        <v>1</v>
      </c>
      <c r="D38">
        <v>5</v>
      </c>
    </row>
    <row r="39" spans="2:4" x14ac:dyDescent="0.2">
      <c r="B39" t="s">
        <v>140</v>
      </c>
      <c r="C39" s="38">
        <v>1</v>
      </c>
      <c r="D39">
        <v>10</v>
      </c>
    </row>
    <row r="40" spans="2:4" x14ac:dyDescent="0.2">
      <c r="B40" t="s">
        <v>139</v>
      </c>
      <c r="C40" s="38">
        <v>1</v>
      </c>
      <c r="D40">
        <v>10</v>
      </c>
    </row>
    <row r="41" spans="2:4" x14ac:dyDescent="0.2">
      <c r="B41" t="s">
        <v>138</v>
      </c>
      <c r="C41" s="38">
        <v>1</v>
      </c>
      <c r="D41">
        <v>10</v>
      </c>
    </row>
    <row r="42" spans="2:4" x14ac:dyDescent="0.2">
      <c r="B42" t="s">
        <v>85</v>
      </c>
      <c r="C42" s="38">
        <v>1</v>
      </c>
      <c r="D42">
        <v>5</v>
      </c>
    </row>
    <row r="43" spans="2:4" x14ac:dyDescent="0.2">
      <c r="B43" t="s">
        <v>33</v>
      </c>
      <c r="C43" s="38">
        <v>1</v>
      </c>
      <c r="D43">
        <v>5</v>
      </c>
    </row>
    <row r="44" spans="2:4" x14ac:dyDescent="0.2">
      <c r="B44" t="s">
        <v>3</v>
      </c>
      <c r="C44" s="38">
        <v>1</v>
      </c>
      <c r="D44">
        <v>5</v>
      </c>
    </row>
    <row r="45" spans="2:4" x14ac:dyDescent="0.2">
      <c r="B45" t="s">
        <v>76</v>
      </c>
      <c r="C45" s="38">
        <v>1</v>
      </c>
      <c r="D45">
        <v>5</v>
      </c>
    </row>
    <row r="46" spans="2:4" x14ac:dyDescent="0.2">
      <c r="B46" t="s">
        <v>35</v>
      </c>
      <c r="C46" s="38">
        <v>1</v>
      </c>
      <c r="D46">
        <v>10</v>
      </c>
    </row>
    <row r="47" spans="2:4" x14ac:dyDescent="0.2">
      <c r="B47" t="s">
        <v>13</v>
      </c>
      <c r="C47" s="38">
        <v>1</v>
      </c>
      <c r="D47">
        <v>10</v>
      </c>
    </row>
    <row r="48" spans="2:4" x14ac:dyDescent="0.2">
      <c r="B48" t="s">
        <v>163</v>
      </c>
      <c r="C48" s="38">
        <v>1</v>
      </c>
      <c r="D48">
        <v>10</v>
      </c>
    </row>
    <row r="49" spans="2:4" x14ac:dyDescent="0.2">
      <c r="B49" t="s">
        <v>170</v>
      </c>
      <c r="C49" s="38">
        <v>1</v>
      </c>
      <c r="D49">
        <v>10</v>
      </c>
    </row>
    <row r="50" spans="2:4" x14ac:dyDescent="0.2">
      <c r="B50" t="s">
        <v>12</v>
      </c>
      <c r="C50" s="38">
        <v>2</v>
      </c>
      <c r="D50">
        <v>10</v>
      </c>
    </row>
    <row r="51" spans="2:4" x14ac:dyDescent="0.2">
      <c r="B51" t="s">
        <v>10</v>
      </c>
      <c r="C51" s="38">
        <v>1</v>
      </c>
      <c r="D51">
        <v>10</v>
      </c>
    </row>
    <row r="52" spans="2:4" x14ac:dyDescent="0.2">
      <c r="B52" t="s">
        <v>9</v>
      </c>
      <c r="C52" s="38">
        <v>2</v>
      </c>
      <c r="D52">
        <v>5</v>
      </c>
    </row>
    <row r="53" spans="2:4" x14ac:dyDescent="0.2">
      <c r="B53" t="s">
        <v>22</v>
      </c>
      <c r="C53" s="38">
        <v>1</v>
      </c>
      <c r="D53">
        <v>10</v>
      </c>
    </row>
    <row r="54" spans="2:4" x14ac:dyDescent="0.2">
      <c r="B54" t="s">
        <v>23</v>
      </c>
      <c r="C54" s="38">
        <v>1</v>
      </c>
      <c r="D54">
        <v>10</v>
      </c>
    </row>
    <row r="55" spans="2:4" x14ac:dyDescent="0.2">
      <c r="B55" t="s">
        <v>24</v>
      </c>
      <c r="C55" s="38">
        <v>1</v>
      </c>
      <c r="D55">
        <v>10</v>
      </c>
    </row>
    <row r="56" spans="2:4" x14ac:dyDescent="0.2">
      <c r="B56" t="s">
        <v>104</v>
      </c>
      <c r="C56" s="38">
        <v>1</v>
      </c>
      <c r="D56">
        <v>10</v>
      </c>
    </row>
    <row r="57" spans="2:4" x14ac:dyDescent="0.2">
      <c r="B57" t="s">
        <v>81</v>
      </c>
      <c r="C57" s="38">
        <v>1</v>
      </c>
      <c r="D57">
        <v>10</v>
      </c>
    </row>
    <row r="58" spans="2:4" x14ac:dyDescent="0.2">
      <c r="B58" t="s">
        <v>27</v>
      </c>
      <c r="C58" s="38">
        <v>2</v>
      </c>
      <c r="D58">
        <v>10</v>
      </c>
    </row>
    <row r="59" spans="2:4" x14ac:dyDescent="0.2">
      <c r="B59" t="s">
        <v>25</v>
      </c>
      <c r="C59" s="38">
        <v>1</v>
      </c>
      <c r="D59">
        <v>5</v>
      </c>
    </row>
    <row r="60" spans="2:4" x14ac:dyDescent="0.2">
      <c r="B60" t="s">
        <v>39</v>
      </c>
      <c r="C60" s="38">
        <v>1</v>
      </c>
      <c r="D60">
        <v>5</v>
      </c>
    </row>
    <row r="61" spans="2:4" x14ac:dyDescent="0.2">
      <c r="B61" t="s">
        <v>91</v>
      </c>
      <c r="C61" s="38">
        <v>1</v>
      </c>
      <c r="D61">
        <v>10</v>
      </c>
    </row>
    <row r="62" spans="2:4" x14ac:dyDescent="0.2">
      <c r="B62" t="s">
        <v>30</v>
      </c>
      <c r="C62" s="38">
        <v>1</v>
      </c>
      <c r="D62">
        <v>10</v>
      </c>
    </row>
    <row r="63" spans="2:4" x14ac:dyDescent="0.2">
      <c r="B63" t="s">
        <v>31</v>
      </c>
      <c r="C63" s="38">
        <v>1</v>
      </c>
      <c r="D63">
        <v>10</v>
      </c>
    </row>
    <row r="64" spans="2:4" x14ac:dyDescent="0.2">
      <c r="B64" t="s">
        <v>29</v>
      </c>
      <c r="C64" s="38">
        <v>1</v>
      </c>
      <c r="D64">
        <v>10</v>
      </c>
    </row>
    <row r="65" spans="1:4" x14ac:dyDescent="0.2">
      <c r="B65" t="s">
        <v>56</v>
      </c>
      <c r="C65" s="38">
        <v>2</v>
      </c>
      <c r="D65">
        <v>10</v>
      </c>
    </row>
    <row r="66" spans="1:4" x14ac:dyDescent="0.2">
      <c r="B66" t="s">
        <v>43</v>
      </c>
      <c r="C66" s="38">
        <v>1</v>
      </c>
      <c r="D66">
        <v>5</v>
      </c>
    </row>
    <row r="67" spans="1:4" x14ac:dyDescent="0.2">
      <c r="B67" t="s">
        <v>15</v>
      </c>
      <c r="C67" s="38">
        <v>1</v>
      </c>
      <c r="D67">
        <v>5</v>
      </c>
    </row>
    <row r="68" spans="1:4" x14ac:dyDescent="0.2">
      <c r="B68" t="s">
        <v>16</v>
      </c>
      <c r="C68" s="38">
        <v>1</v>
      </c>
      <c r="D68">
        <v>10</v>
      </c>
    </row>
    <row r="69" spans="1:4" x14ac:dyDescent="0.2">
      <c r="B69" t="s">
        <v>17</v>
      </c>
      <c r="C69" s="38">
        <v>1</v>
      </c>
      <c r="D69">
        <v>10</v>
      </c>
    </row>
    <row r="70" spans="1:4" x14ac:dyDescent="0.2">
      <c r="B70" t="s">
        <v>86</v>
      </c>
      <c r="C70" s="38">
        <v>1</v>
      </c>
      <c r="D70">
        <v>5</v>
      </c>
    </row>
    <row r="71" spans="1:4" x14ac:dyDescent="0.2">
      <c r="A71" t="s">
        <v>174</v>
      </c>
      <c r="B71" t="s">
        <v>107</v>
      </c>
      <c r="C71" s="38">
        <v>1</v>
      </c>
      <c r="D71">
        <v>15</v>
      </c>
    </row>
    <row r="72" spans="1:4" x14ac:dyDescent="0.2">
      <c r="B72" t="s">
        <v>205</v>
      </c>
      <c r="C72" s="38">
        <v>1</v>
      </c>
      <c r="D72">
        <v>15</v>
      </c>
    </row>
    <row r="73" spans="1:4" x14ac:dyDescent="0.2">
      <c r="B73" t="s">
        <v>106</v>
      </c>
      <c r="C73" s="38">
        <v>1</v>
      </c>
      <c r="D73">
        <v>15</v>
      </c>
    </row>
    <row r="74" spans="1:4" x14ac:dyDescent="0.2">
      <c r="B74" t="s">
        <v>108</v>
      </c>
      <c r="C74" s="38">
        <v>1</v>
      </c>
      <c r="D74">
        <v>15</v>
      </c>
    </row>
    <row r="75" spans="1:4" x14ac:dyDescent="0.2">
      <c r="B75" t="s">
        <v>109</v>
      </c>
      <c r="C75" s="38">
        <v>1</v>
      </c>
      <c r="D75">
        <v>15</v>
      </c>
    </row>
    <row r="76" spans="1:4" x14ac:dyDescent="0.2">
      <c r="B76" t="s">
        <v>105</v>
      </c>
      <c r="C76" s="38">
        <v>1</v>
      </c>
      <c r="D76">
        <v>15</v>
      </c>
    </row>
    <row r="77" spans="1:4" x14ac:dyDescent="0.2">
      <c r="A77" t="s">
        <v>179</v>
      </c>
      <c r="B77" t="s">
        <v>89</v>
      </c>
      <c r="C77" s="38">
        <v>1</v>
      </c>
      <c r="D77">
        <v>10</v>
      </c>
    </row>
    <row r="78" spans="1:4" x14ac:dyDescent="0.2">
      <c r="B78" t="s">
        <v>79</v>
      </c>
      <c r="C78" s="38">
        <v>1</v>
      </c>
      <c r="D78">
        <v>10</v>
      </c>
    </row>
    <row r="79" spans="1:4" x14ac:dyDescent="0.2">
      <c r="B79" t="s">
        <v>172</v>
      </c>
      <c r="C79" s="38">
        <v>1</v>
      </c>
      <c r="D79">
        <v>15</v>
      </c>
    </row>
    <row r="80" spans="1:4" x14ac:dyDescent="0.2">
      <c r="B80" t="s">
        <v>61</v>
      </c>
      <c r="C80" s="38">
        <v>1</v>
      </c>
      <c r="D80">
        <v>15</v>
      </c>
    </row>
    <row r="81" spans="2:4" x14ac:dyDescent="0.2">
      <c r="B81" t="s">
        <v>58</v>
      </c>
      <c r="C81" s="38">
        <v>1</v>
      </c>
      <c r="D81">
        <v>15</v>
      </c>
    </row>
    <row r="82" spans="2:4" x14ac:dyDescent="0.2">
      <c r="B82" t="s">
        <v>63</v>
      </c>
      <c r="C82" s="38">
        <v>1</v>
      </c>
      <c r="D82">
        <v>15</v>
      </c>
    </row>
    <row r="83" spans="2:4" x14ac:dyDescent="0.2">
      <c r="B83" t="s">
        <v>66</v>
      </c>
      <c r="C83" s="38">
        <v>1</v>
      </c>
      <c r="D83">
        <v>10</v>
      </c>
    </row>
    <row r="84" spans="2:4" x14ac:dyDescent="0.2">
      <c r="B84" t="s">
        <v>101</v>
      </c>
      <c r="C84" s="38">
        <v>1</v>
      </c>
      <c r="D84">
        <v>10</v>
      </c>
    </row>
    <row r="85" spans="2:4" x14ac:dyDescent="0.2">
      <c r="B85" t="s">
        <v>74</v>
      </c>
      <c r="C85" s="38">
        <v>1</v>
      </c>
      <c r="D85">
        <v>15</v>
      </c>
    </row>
    <row r="86" spans="2:4" x14ac:dyDescent="0.2">
      <c r="B86" t="s">
        <v>75</v>
      </c>
      <c r="C86" s="38">
        <v>1</v>
      </c>
      <c r="D86">
        <v>15</v>
      </c>
    </row>
    <row r="87" spans="2:4" x14ac:dyDescent="0.2">
      <c r="B87" t="s">
        <v>82</v>
      </c>
      <c r="C87" s="38">
        <v>1</v>
      </c>
      <c r="D87">
        <v>10</v>
      </c>
    </row>
    <row r="88" spans="2:4" x14ac:dyDescent="0.2">
      <c r="B88" t="s">
        <v>64</v>
      </c>
      <c r="C88" s="38">
        <v>1</v>
      </c>
      <c r="D88">
        <v>10</v>
      </c>
    </row>
    <row r="89" spans="2:4" x14ac:dyDescent="0.2">
      <c r="B89" t="s">
        <v>57</v>
      </c>
      <c r="C89" s="38">
        <v>1</v>
      </c>
      <c r="D89">
        <v>15</v>
      </c>
    </row>
    <row r="90" spans="2:4" x14ac:dyDescent="0.2">
      <c r="B90" t="s">
        <v>124</v>
      </c>
      <c r="C90" s="38">
        <v>1</v>
      </c>
      <c r="D90">
        <v>15</v>
      </c>
    </row>
    <row r="91" spans="2:4" x14ac:dyDescent="0.2">
      <c r="B91" t="s">
        <v>84</v>
      </c>
      <c r="C91" s="38">
        <v>1</v>
      </c>
      <c r="D91">
        <v>10</v>
      </c>
    </row>
    <row r="92" spans="2:4" x14ac:dyDescent="0.2">
      <c r="B92" t="s">
        <v>102</v>
      </c>
      <c r="C92" s="38">
        <v>1</v>
      </c>
      <c r="D92">
        <v>10</v>
      </c>
    </row>
    <row r="93" spans="2:4" x14ac:dyDescent="0.2">
      <c r="B93" t="s">
        <v>59</v>
      </c>
      <c r="C93" s="38">
        <v>1</v>
      </c>
      <c r="D93">
        <v>5</v>
      </c>
    </row>
    <row r="94" spans="2:4" x14ac:dyDescent="0.2">
      <c r="B94" t="s">
        <v>60</v>
      </c>
      <c r="C94" s="38">
        <v>1</v>
      </c>
      <c r="D94">
        <v>15</v>
      </c>
    </row>
    <row r="95" spans="2:4" x14ac:dyDescent="0.2">
      <c r="B95" t="s">
        <v>71</v>
      </c>
      <c r="C95" s="38">
        <v>1</v>
      </c>
      <c r="D95">
        <v>15</v>
      </c>
    </row>
    <row r="96" spans="2:4" x14ac:dyDescent="0.2">
      <c r="B96" t="s">
        <v>103</v>
      </c>
      <c r="C96" s="38">
        <v>1</v>
      </c>
      <c r="D96">
        <v>15</v>
      </c>
    </row>
    <row r="97" spans="1:4" x14ac:dyDescent="0.2">
      <c r="B97" t="s">
        <v>70</v>
      </c>
      <c r="C97" s="38">
        <v>1</v>
      </c>
      <c r="D97">
        <v>15</v>
      </c>
    </row>
    <row r="98" spans="1:4" x14ac:dyDescent="0.2">
      <c r="B98" t="s">
        <v>68</v>
      </c>
      <c r="C98" s="38">
        <v>1</v>
      </c>
      <c r="D98">
        <v>15</v>
      </c>
    </row>
    <row r="99" spans="1:4" x14ac:dyDescent="0.2">
      <c r="B99" t="s">
        <v>104</v>
      </c>
      <c r="C99" s="38">
        <v>1</v>
      </c>
      <c r="D99">
        <v>10</v>
      </c>
    </row>
    <row r="100" spans="1:4" x14ac:dyDescent="0.2">
      <c r="B100" t="s">
        <v>91</v>
      </c>
      <c r="C100" s="38">
        <v>1</v>
      </c>
      <c r="D100">
        <v>10</v>
      </c>
    </row>
    <row r="101" spans="1:4" x14ac:dyDescent="0.2">
      <c r="B101" t="s">
        <v>92</v>
      </c>
      <c r="C101" s="38">
        <v>1</v>
      </c>
      <c r="D101">
        <v>10</v>
      </c>
    </row>
    <row r="102" spans="1:4" x14ac:dyDescent="0.2">
      <c r="B102" t="s">
        <v>142</v>
      </c>
      <c r="C102" s="38">
        <v>1</v>
      </c>
      <c r="D102">
        <v>10</v>
      </c>
    </row>
    <row r="103" spans="1:4" x14ac:dyDescent="0.2">
      <c r="B103" t="s">
        <v>141</v>
      </c>
      <c r="C103" s="38">
        <v>1</v>
      </c>
      <c r="D103">
        <v>10</v>
      </c>
    </row>
    <row r="104" spans="1:4" x14ac:dyDescent="0.2">
      <c r="B104" t="s">
        <v>88</v>
      </c>
      <c r="C104" s="38">
        <v>1</v>
      </c>
      <c r="D104">
        <v>10</v>
      </c>
    </row>
    <row r="105" spans="1:4" x14ac:dyDescent="0.2">
      <c r="B105" t="s">
        <v>90</v>
      </c>
      <c r="C105" s="38">
        <v>1</v>
      </c>
      <c r="D105">
        <v>10</v>
      </c>
    </row>
    <row r="106" spans="1:4" x14ac:dyDescent="0.2">
      <c r="B106" t="s">
        <v>98</v>
      </c>
      <c r="C106" s="38">
        <v>1</v>
      </c>
      <c r="D106">
        <v>15</v>
      </c>
    </row>
    <row r="107" spans="1:4" x14ac:dyDescent="0.2">
      <c r="B107" t="s">
        <v>83</v>
      </c>
      <c r="C107" s="38">
        <v>1</v>
      </c>
      <c r="D107">
        <v>10</v>
      </c>
    </row>
    <row r="108" spans="1:4" x14ac:dyDescent="0.2">
      <c r="A108" t="s">
        <v>199</v>
      </c>
      <c r="B108" t="s">
        <v>118</v>
      </c>
      <c r="C108" s="38">
        <v>1</v>
      </c>
      <c r="D108">
        <v>10</v>
      </c>
    </row>
    <row r="109" spans="1:4" x14ac:dyDescent="0.2">
      <c r="B109" t="s">
        <v>128</v>
      </c>
      <c r="C109" s="38">
        <v>1</v>
      </c>
      <c r="D109">
        <v>10</v>
      </c>
    </row>
    <row r="110" spans="1:4" x14ac:dyDescent="0.2">
      <c r="B110" t="s">
        <v>127</v>
      </c>
      <c r="C110" s="38">
        <v>1</v>
      </c>
      <c r="D110">
        <v>10</v>
      </c>
    </row>
    <row r="111" spans="1:4" x14ac:dyDescent="0.2">
      <c r="B111" t="s">
        <v>126</v>
      </c>
      <c r="C111" s="38">
        <v>1</v>
      </c>
      <c r="D111">
        <v>15</v>
      </c>
    </row>
    <row r="112" spans="1:4" x14ac:dyDescent="0.2">
      <c r="B112" t="s">
        <v>131</v>
      </c>
      <c r="C112" s="38">
        <v>1</v>
      </c>
      <c r="D112">
        <v>5</v>
      </c>
    </row>
    <row r="113" spans="2:4" x14ac:dyDescent="0.2">
      <c r="B113" t="s">
        <v>137</v>
      </c>
      <c r="C113" s="38">
        <v>1</v>
      </c>
      <c r="D113">
        <v>5</v>
      </c>
    </row>
    <row r="114" spans="2:4" x14ac:dyDescent="0.2">
      <c r="B114" t="s">
        <v>122</v>
      </c>
      <c r="C114" s="38">
        <v>1</v>
      </c>
      <c r="D114">
        <v>10</v>
      </c>
    </row>
    <row r="115" spans="2:4" x14ac:dyDescent="0.2">
      <c r="B115" t="s">
        <v>151</v>
      </c>
      <c r="C115" s="38">
        <v>1</v>
      </c>
      <c r="D115">
        <v>10</v>
      </c>
    </row>
    <row r="116" spans="2:4" x14ac:dyDescent="0.2">
      <c r="B116" t="s">
        <v>144</v>
      </c>
      <c r="C116" s="38">
        <v>1</v>
      </c>
      <c r="D116">
        <v>10</v>
      </c>
    </row>
    <row r="117" spans="2:4" x14ac:dyDescent="0.2">
      <c r="B117" t="s">
        <v>147</v>
      </c>
      <c r="C117" s="38">
        <v>1</v>
      </c>
      <c r="D117">
        <v>10</v>
      </c>
    </row>
    <row r="118" spans="2:4" x14ac:dyDescent="0.2">
      <c r="B118" t="s">
        <v>146</v>
      </c>
      <c r="C118" s="38">
        <v>1</v>
      </c>
      <c r="D118">
        <v>10</v>
      </c>
    </row>
    <row r="119" spans="2:4" x14ac:dyDescent="0.2">
      <c r="B119" t="s">
        <v>145</v>
      </c>
      <c r="C119" s="38">
        <v>1</v>
      </c>
      <c r="D119">
        <v>10</v>
      </c>
    </row>
    <row r="120" spans="2:4" x14ac:dyDescent="0.2">
      <c r="B120" t="s">
        <v>120</v>
      </c>
      <c r="C120" s="38">
        <v>1</v>
      </c>
      <c r="D120">
        <v>10</v>
      </c>
    </row>
    <row r="121" spans="2:4" x14ac:dyDescent="0.2">
      <c r="B121" t="s">
        <v>149</v>
      </c>
      <c r="C121" s="38">
        <v>1</v>
      </c>
      <c r="D121">
        <v>10</v>
      </c>
    </row>
    <row r="122" spans="2:4" x14ac:dyDescent="0.2">
      <c r="B122" t="s">
        <v>121</v>
      </c>
      <c r="C122" s="38">
        <v>1</v>
      </c>
      <c r="D122">
        <v>10</v>
      </c>
    </row>
    <row r="123" spans="2:4" x14ac:dyDescent="0.2">
      <c r="B123" t="s">
        <v>148</v>
      </c>
      <c r="C123" s="38">
        <v>1</v>
      </c>
      <c r="D123">
        <v>10</v>
      </c>
    </row>
    <row r="124" spans="2:4" x14ac:dyDescent="0.2">
      <c r="B124" t="s">
        <v>123</v>
      </c>
      <c r="C124" s="38">
        <v>1</v>
      </c>
      <c r="D124">
        <v>10</v>
      </c>
    </row>
    <row r="125" spans="2:4" x14ac:dyDescent="0.2">
      <c r="B125" t="s">
        <v>150</v>
      </c>
      <c r="C125" s="38">
        <v>1</v>
      </c>
      <c r="D125">
        <v>10</v>
      </c>
    </row>
    <row r="126" spans="2:4" x14ac:dyDescent="0.2">
      <c r="B126" t="s">
        <v>119</v>
      </c>
      <c r="C126" s="38">
        <v>1</v>
      </c>
      <c r="D126">
        <v>10</v>
      </c>
    </row>
    <row r="127" spans="2:4" x14ac:dyDescent="0.2">
      <c r="B127" t="s">
        <v>143</v>
      </c>
      <c r="C127" s="38">
        <v>1</v>
      </c>
      <c r="D127">
        <v>10</v>
      </c>
    </row>
    <row r="128" spans="2:4" x14ac:dyDescent="0.2">
      <c r="B128" t="s">
        <v>136</v>
      </c>
      <c r="C128" s="38">
        <v>1</v>
      </c>
      <c r="D128">
        <v>10</v>
      </c>
    </row>
    <row r="129" spans="1:4" x14ac:dyDescent="0.2">
      <c r="A129" t="s">
        <v>200</v>
      </c>
      <c r="B129" t="s">
        <v>95</v>
      </c>
      <c r="C129" s="38">
        <v>1</v>
      </c>
      <c r="D129">
        <v>15</v>
      </c>
    </row>
    <row r="130" spans="1:4" x14ac:dyDescent="0.2">
      <c r="B130" t="s">
        <v>97</v>
      </c>
      <c r="C130" s="38">
        <v>1</v>
      </c>
      <c r="D130">
        <v>15</v>
      </c>
    </row>
    <row r="131" spans="1:4" x14ac:dyDescent="0.2">
      <c r="B131" t="s">
        <v>94</v>
      </c>
      <c r="C131" s="38">
        <v>1</v>
      </c>
      <c r="D131">
        <v>15</v>
      </c>
    </row>
    <row r="132" spans="1:4" x14ac:dyDescent="0.2">
      <c r="B132" t="s">
        <v>93</v>
      </c>
      <c r="C132" s="38">
        <v>1</v>
      </c>
      <c r="D132">
        <v>15</v>
      </c>
    </row>
    <row r="133" spans="1:4" x14ac:dyDescent="0.2">
      <c r="B133" t="s">
        <v>96</v>
      </c>
      <c r="C133" s="38">
        <v>1</v>
      </c>
      <c r="D133">
        <v>15</v>
      </c>
    </row>
    <row r="134" spans="1:4" x14ac:dyDescent="0.2">
      <c r="A134" t="s">
        <v>222</v>
      </c>
      <c r="B134" t="s">
        <v>67</v>
      </c>
      <c r="C134" s="38">
        <v>2</v>
      </c>
      <c r="D134">
        <v>15</v>
      </c>
    </row>
    <row r="135" spans="1:4" x14ac:dyDescent="0.2">
      <c r="B135" t="s">
        <v>41</v>
      </c>
      <c r="C135" s="38">
        <v>2</v>
      </c>
      <c r="D135">
        <v>15</v>
      </c>
    </row>
    <row r="136" spans="1:4" x14ac:dyDescent="0.2">
      <c r="A136" t="s">
        <v>198</v>
      </c>
      <c r="B136" t="s">
        <v>135</v>
      </c>
      <c r="C136" s="38">
        <v>1</v>
      </c>
      <c r="D136">
        <v>10</v>
      </c>
    </row>
    <row r="137" spans="1:4" x14ac:dyDescent="0.2">
      <c r="B137" t="s">
        <v>130</v>
      </c>
      <c r="C137" s="38">
        <v>1</v>
      </c>
      <c r="D137">
        <v>10</v>
      </c>
    </row>
    <row r="138" spans="1:4" x14ac:dyDescent="0.2">
      <c r="B138" t="s">
        <v>115</v>
      </c>
      <c r="C138" s="38">
        <v>1</v>
      </c>
      <c r="D138">
        <v>5</v>
      </c>
    </row>
    <row r="139" spans="1:4" x14ac:dyDescent="0.2">
      <c r="B139" t="s">
        <v>117</v>
      </c>
      <c r="C139" s="38">
        <v>1</v>
      </c>
      <c r="D139">
        <v>10</v>
      </c>
    </row>
    <row r="140" spans="1:4" x14ac:dyDescent="0.2">
      <c r="B140" t="s">
        <v>133</v>
      </c>
      <c r="C140" s="38">
        <v>1</v>
      </c>
      <c r="D140">
        <v>10</v>
      </c>
    </row>
    <row r="141" spans="1:4" x14ac:dyDescent="0.2">
      <c r="B141" t="s">
        <v>116</v>
      </c>
      <c r="C141" s="38">
        <v>1</v>
      </c>
      <c r="D141">
        <v>10</v>
      </c>
    </row>
    <row r="142" spans="1:4" x14ac:dyDescent="0.2">
      <c r="B142" t="s">
        <v>125</v>
      </c>
      <c r="C142" s="38">
        <v>1</v>
      </c>
      <c r="D142">
        <v>10</v>
      </c>
    </row>
    <row r="143" spans="1:4" x14ac:dyDescent="0.2">
      <c r="B143" t="s">
        <v>129</v>
      </c>
      <c r="C143" s="38">
        <v>1</v>
      </c>
      <c r="D143">
        <v>10</v>
      </c>
    </row>
    <row r="144" spans="1:4" x14ac:dyDescent="0.2">
      <c r="B144" t="s">
        <v>114</v>
      </c>
      <c r="C144" s="38">
        <v>1</v>
      </c>
      <c r="D144">
        <v>5</v>
      </c>
    </row>
    <row r="145" spans="1:4" x14ac:dyDescent="0.2">
      <c r="B145" t="s">
        <v>11</v>
      </c>
      <c r="C145" s="38">
        <v>1</v>
      </c>
      <c r="D145">
        <v>5</v>
      </c>
    </row>
    <row r="146" spans="1:4" x14ac:dyDescent="0.2">
      <c r="B146" t="s">
        <v>132</v>
      </c>
      <c r="C146" s="38">
        <v>1</v>
      </c>
      <c r="D146">
        <v>15</v>
      </c>
    </row>
    <row r="147" spans="1:4" x14ac:dyDescent="0.2">
      <c r="B147" t="s">
        <v>134</v>
      </c>
      <c r="C147" s="38">
        <v>1</v>
      </c>
      <c r="D147">
        <v>10</v>
      </c>
    </row>
    <row r="148" spans="1:4" x14ac:dyDescent="0.2">
      <c r="A148" t="s">
        <v>221</v>
      </c>
      <c r="B148" t="s">
        <v>72</v>
      </c>
      <c r="C148" s="38">
        <v>1</v>
      </c>
      <c r="D148">
        <v>10</v>
      </c>
    </row>
    <row r="149" spans="1:4" x14ac:dyDescent="0.2">
      <c r="B149" t="s">
        <v>21</v>
      </c>
      <c r="C149" s="38">
        <v>1</v>
      </c>
      <c r="D149">
        <v>10</v>
      </c>
    </row>
    <row r="150" spans="1:4" x14ac:dyDescent="0.2">
      <c r="B150" t="s">
        <v>78</v>
      </c>
      <c r="C150" s="38">
        <v>1</v>
      </c>
      <c r="D150">
        <v>15</v>
      </c>
    </row>
    <row r="151" spans="1:4" x14ac:dyDescent="0.2">
      <c r="B151" t="s">
        <v>50</v>
      </c>
      <c r="C151" s="38">
        <v>1</v>
      </c>
      <c r="D151">
        <v>15</v>
      </c>
    </row>
    <row r="152" spans="1:4" x14ac:dyDescent="0.2">
      <c r="B152" t="s">
        <v>100</v>
      </c>
      <c r="C152" s="38">
        <v>1</v>
      </c>
      <c r="D152">
        <v>10</v>
      </c>
    </row>
    <row r="153" spans="1:4" x14ac:dyDescent="0.2">
      <c r="B153" t="s">
        <v>42</v>
      </c>
      <c r="C153" s="38">
        <v>1</v>
      </c>
      <c r="D153">
        <v>10</v>
      </c>
    </row>
    <row r="154" spans="1:4" x14ac:dyDescent="0.2">
      <c r="B154" t="s">
        <v>80</v>
      </c>
      <c r="C154" s="38">
        <v>1</v>
      </c>
      <c r="D154">
        <v>10</v>
      </c>
    </row>
    <row r="155" spans="1:4" x14ac:dyDescent="0.2">
      <c r="B155" t="s">
        <v>207</v>
      </c>
      <c r="C155" s="38">
        <v>1</v>
      </c>
      <c r="D155">
        <v>10</v>
      </c>
    </row>
    <row r="156" spans="1:4" x14ac:dyDescent="0.2">
      <c r="B156" t="s">
        <v>52</v>
      </c>
      <c r="C156" s="38">
        <v>2</v>
      </c>
      <c r="D156">
        <v>5</v>
      </c>
    </row>
    <row r="157" spans="1:4" x14ac:dyDescent="0.2">
      <c r="B157" t="s">
        <v>69</v>
      </c>
      <c r="C157" s="38">
        <v>2</v>
      </c>
      <c r="D157">
        <v>10</v>
      </c>
    </row>
    <row r="158" spans="1:4" x14ac:dyDescent="0.2">
      <c r="B158" t="s">
        <v>26</v>
      </c>
      <c r="C158" s="38">
        <v>1</v>
      </c>
      <c r="D158">
        <v>10</v>
      </c>
    </row>
    <row r="159" spans="1:4" x14ac:dyDescent="0.2">
      <c r="B159" t="s">
        <v>23</v>
      </c>
      <c r="C159" s="38">
        <v>1</v>
      </c>
      <c r="D159">
        <v>15</v>
      </c>
    </row>
    <row r="160" spans="1:4" x14ac:dyDescent="0.2">
      <c r="B160" t="s">
        <v>24</v>
      </c>
      <c r="C160" s="38">
        <v>1</v>
      </c>
      <c r="D160">
        <v>15</v>
      </c>
    </row>
    <row r="161" spans="1:4" x14ac:dyDescent="0.2">
      <c r="B161" t="s">
        <v>104</v>
      </c>
      <c r="C161" s="38">
        <v>1</v>
      </c>
      <c r="D161">
        <v>15</v>
      </c>
    </row>
    <row r="162" spans="1:4" x14ac:dyDescent="0.2">
      <c r="B162" t="s">
        <v>53</v>
      </c>
      <c r="C162" s="38">
        <v>1</v>
      </c>
      <c r="D162">
        <v>15</v>
      </c>
    </row>
    <row r="163" spans="1:4" x14ac:dyDescent="0.2">
      <c r="B163" t="s">
        <v>81</v>
      </c>
      <c r="C163" s="38">
        <v>1</v>
      </c>
      <c r="D163">
        <v>15</v>
      </c>
    </row>
    <row r="164" spans="1:4" x14ac:dyDescent="0.2">
      <c r="B164" t="s">
        <v>27</v>
      </c>
      <c r="C164" s="38">
        <v>3</v>
      </c>
      <c r="D164">
        <v>15</v>
      </c>
    </row>
    <row r="165" spans="1:4" x14ac:dyDescent="0.2">
      <c r="B165" t="s">
        <v>25</v>
      </c>
      <c r="C165" s="38">
        <v>1</v>
      </c>
      <c r="D165">
        <v>15</v>
      </c>
    </row>
    <row r="166" spans="1:4" x14ac:dyDescent="0.2">
      <c r="A166" t="s">
        <v>223</v>
      </c>
      <c r="C166" s="38">
        <v>177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8"/>
  <sheetViews>
    <sheetView topLeftCell="C2" workbookViewId="0">
      <pane ySplit="2" topLeftCell="A4" activePane="bottomLeft" state="frozen"/>
      <selection activeCell="B2" sqref="B2"/>
      <selection pane="bottomLeft" activeCell="S9" sqref="S9"/>
    </sheetView>
  </sheetViews>
  <sheetFormatPr defaultRowHeight="12.75" x14ac:dyDescent="0.2"/>
  <cols>
    <col min="2" max="2" width="64.5703125" customWidth="1"/>
  </cols>
  <sheetData>
    <row r="1" spans="1:19" x14ac:dyDescent="0.2">
      <c r="A1" s="18"/>
      <c r="B1" s="19"/>
      <c r="C1" s="20"/>
      <c r="D1" s="83" t="s">
        <v>20</v>
      </c>
      <c r="E1" s="83"/>
      <c r="F1" s="83"/>
      <c r="G1" s="83"/>
      <c r="H1" s="83"/>
      <c r="I1" s="83"/>
      <c r="J1" s="83"/>
      <c r="K1" s="83"/>
      <c r="L1" s="80" t="s">
        <v>177</v>
      </c>
      <c r="M1" s="80"/>
      <c r="N1" s="80"/>
      <c r="O1" s="80"/>
      <c r="P1" s="80"/>
      <c r="Q1" s="80"/>
      <c r="R1" s="80"/>
    </row>
    <row r="2" spans="1:19" ht="51" x14ac:dyDescent="0.2">
      <c r="A2" s="1"/>
      <c r="B2" s="6"/>
      <c r="C2" s="7"/>
      <c r="D2" s="21" t="s">
        <v>175</v>
      </c>
      <c r="E2" s="22" t="s">
        <v>2</v>
      </c>
      <c r="F2" s="84" t="s">
        <v>1</v>
      </c>
      <c r="G2" s="84"/>
      <c r="H2" s="84"/>
      <c r="I2" s="22" t="s">
        <v>0</v>
      </c>
      <c r="J2" s="85"/>
      <c r="K2" s="85"/>
      <c r="L2" s="85"/>
      <c r="M2" s="85"/>
      <c r="N2" s="85"/>
      <c r="O2" s="85"/>
      <c r="P2" s="85"/>
      <c r="Q2" s="85"/>
      <c r="R2" s="85"/>
    </row>
    <row r="3" spans="1:19" ht="38.25" x14ac:dyDescent="0.2">
      <c r="A3" s="10"/>
      <c r="B3" s="11" t="s">
        <v>62</v>
      </c>
      <c r="C3" s="11" t="s">
        <v>18</v>
      </c>
      <c r="D3" s="12" t="s">
        <v>179</v>
      </c>
      <c r="E3" s="12" t="s">
        <v>164</v>
      </c>
      <c r="F3" s="12" t="s">
        <v>168</v>
      </c>
      <c r="G3" s="12" t="s">
        <v>169</v>
      </c>
      <c r="H3" s="12" t="s">
        <v>174</v>
      </c>
      <c r="I3" s="12" t="s">
        <v>200</v>
      </c>
      <c r="J3" s="12"/>
      <c r="K3" s="12"/>
      <c r="L3" s="12"/>
      <c r="M3" s="10"/>
      <c r="N3" s="10" t="s">
        <v>157</v>
      </c>
      <c r="O3" s="10" t="s">
        <v>159</v>
      </c>
      <c r="P3" s="10" t="s">
        <v>160</v>
      </c>
      <c r="Q3" s="12" t="s">
        <v>171</v>
      </c>
      <c r="R3" s="12" t="s">
        <v>161</v>
      </c>
      <c r="S3" s="12" t="s">
        <v>213</v>
      </c>
    </row>
    <row r="4" spans="1:19" x14ac:dyDescent="0.2">
      <c r="A4" s="82" t="s">
        <v>152</v>
      </c>
      <c r="B4" s="13" t="s">
        <v>32</v>
      </c>
      <c r="C4" s="14" t="s">
        <v>34</v>
      </c>
      <c r="D4" s="16"/>
      <c r="E4" s="15" t="s">
        <v>154</v>
      </c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>
        <f>COUNTA(N4:R4)</f>
        <v>0</v>
      </c>
    </row>
    <row r="5" spans="1:19" x14ac:dyDescent="0.2">
      <c r="A5" s="82"/>
      <c r="B5" s="13" t="s">
        <v>33</v>
      </c>
      <c r="C5" s="14" t="s">
        <v>34</v>
      </c>
      <c r="D5" s="16"/>
      <c r="E5" s="15" t="s">
        <v>154</v>
      </c>
      <c r="F5" s="16"/>
      <c r="G5" s="16"/>
      <c r="H5" s="16"/>
      <c r="I5" s="16"/>
      <c r="J5" s="16"/>
      <c r="K5" s="16"/>
      <c r="L5" s="16"/>
      <c r="M5" s="16"/>
      <c r="N5" s="15" t="s">
        <v>154</v>
      </c>
      <c r="O5" s="16"/>
      <c r="P5" s="16"/>
      <c r="Q5" s="16"/>
      <c r="R5" s="16"/>
      <c r="S5">
        <f t="shared" ref="S5:S68" si="0">COUNTA(N5:R5)</f>
        <v>1</v>
      </c>
    </row>
    <row r="6" spans="1:19" x14ac:dyDescent="0.2">
      <c r="A6" s="82"/>
      <c r="B6" s="13" t="s">
        <v>38</v>
      </c>
      <c r="C6" s="14" t="s">
        <v>34</v>
      </c>
      <c r="D6" s="16"/>
      <c r="E6" s="15" t="s">
        <v>154</v>
      </c>
      <c r="F6" s="16"/>
      <c r="G6" s="16"/>
      <c r="H6" s="16"/>
      <c r="I6" s="16"/>
      <c r="J6" s="16"/>
      <c r="K6" s="16"/>
      <c r="L6" s="16"/>
      <c r="M6" s="16"/>
      <c r="N6" s="15" t="s">
        <v>154</v>
      </c>
      <c r="O6" s="16"/>
      <c r="P6" s="16"/>
      <c r="Q6" s="16"/>
      <c r="R6" s="15" t="s">
        <v>154</v>
      </c>
      <c r="S6">
        <f t="shared" si="0"/>
        <v>2</v>
      </c>
    </row>
    <row r="7" spans="1:19" x14ac:dyDescent="0.2">
      <c r="A7" s="82"/>
      <c r="B7" s="13" t="s">
        <v>9</v>
      </c>
      <c r="C7" s="14" t="s">
        <v>34</v>
      </c>
      <c r="D7" s="16"/>
      <c r="E7" s="15" t="s">
        <v>154</v>
      </c>
      <c r="F7" s="16"/>
      <c r="G7" s="16"/>
      <c r="H7" s="16"/>
      <c r="I7" s="16"/>
      <c r="J7" s="16"/>
      <c r="K7" s="16"/>
      <c r="L7" s="16"/>
      <c r="M7" s="16"/>
      <c r="N7" s="15" t="s">
        <v>154</v>
      </c>
      <c r="O7" s="16"/>
      <c r="P7" s="16"/>
      <c r="Q7" s="16"/>
      <c r="R7" s="16"/>
      <c r="S7">
        <f t="shared" si="0"/>
        <v>1</v>
      </c>
    </row>
    <row r="8" spans="1:19" x14ac:dyDescent="0.2">
      <c r="A8" s="82"/>
      <c r="B8" s="13" t="s">
        <v>170</v>
      </c>
      <c r="C8" s="14" t="s">
        <v>34</v>
      </c>
      <c r="D8" s="16"/>
      <c r="E8" s="15" t="s">
        <v>154</v>
      </c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>
        <f t="shared" si="0"/>
        <v>0</v>
      </c>
    </row>
    <row r="9" spans="1:19" x14ac:dyDescent="0.2">
      <c r="A9" s="82"/>
      <c r="B9" s="13" t="s">
        <v>39</v>
      </c>
      <c r="C9" s="14" t="s">
        <v>34</v>
      </c>
      <c r="D9" s="16"/>
      <c r="E9" s="15" t="s">
        <v>154</v>
      </c>
      <c r="F9" s="16"/>
      <c r="G9" s="16"/>
      <c r="H9" s="16"/>
      <c r="I9" s="16"/>
      <c r="J9" s="16"/>
      <c r="K9" s="16"/>
      <c r="L9" s="16"/>
      <c r="M9" s="16"/>
      <c r="N9" s="15" t="s">
        <v>154</v>
      </c>
      <c r="O9" s="16"/>
      <c r="P9" s="16"/>
      <c r="Q9" s="16"/>
      <c r="R9" s="16"/>
      <c r="S9">
        <f t="shared" si="0"/>
        <v>1</v>
      </c>
    </row>
    <row r="10" spans="1:19" x14ac:dyDescent="0.2">
      <c r="A10" s="82"/>
      <c r="B10" s="13" t="s">
        <v>40</v>
      </c>
      <c r="C10" s="14" t="s">
        <v>34</v>
      </c>
      <c r="D10" s="16"/>
      <c r="E10" s="15" t="s">
        <v>154</v>
      </c>
      <c r="F10" s="16"/>
      <c r="G10" s="16"/>
      <c r="H10" s="16"/>
      <c r="I10" s="16"/>
      <c r="J10" s="16"/>
      <c r="K10" s="16"/>
      <c r="L10" s="16"/>
      <c r="M10" s="16"/>
      <c r="N10" s="15" t="s">
        <v>154</v>
      </c>
      <c r="O10" s="16"/>
      <c r="P10" s="16"/>
      <c r="Q10" s="16"/>
      <c r="R10" s="16"/>
      <c r="S10">
        <f t="shared" si="0"/>
        <v>1</v>
      </c>
    </row>
    <row r="11" spans="1:19" ht="25.5" x14ac:dyDescent="0.2">
      <c r="A11" s="82"/>
      <c r="B11" s="13" t="s">
        <v>50</v>
      </c>
      <c r="C11" s="14" t="s">
        <v>34</v>
      </c>
      <c r="D11" s="16"/>
      <c r="E11" s="15"/>
      <c r="F11" s="15" t="s">
        <v>154</v>
      </c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>
        <f t="shared" si="0"/>
        <v>0</v>
      </c>
    </row>
    <row r="12" spans="1:19" x14ac:dyDescent="0.2">
      <c r="A12" s="82"/>
      <c r="B12" s="13" t="s">
        <v>42</v>
      </c>
      <c r="C12" s="14" t="s">
        <v>34</v>
      </c>
      <c r="D12" s="16"/>
      <c r="E12" s="15"/>
      <c r="F12" s="15" t="s">
        <v>154</v>
      </c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>
        <f t="shared" si="0"/>
        <v>0</v>
      </c>
    </row>
    <row r="13" spans="1:19" x14ac:dyDescent="0.2">
      <c r="A13" s="82"/>
      <c r="B13" s="13" t="s">
        <v>69</v>
      </c>
      <c r="C13" s="14" t="s">
        <v>34</v>
      </c>
      <c r="D13" s="16"/>
      <c r="E13" s="15"/>
      <c r="F13" s="15" t="s">
        <v>154</v>
      </c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>
        <f t="shared" si="0"/>
        <v>0</v>
      </c>
    </row>
    <row r="14" spans="1:19" x14ac:dyDescent="0.2">
      <c r="A14" s="82"/>
      <c r="B14" s="13" t="s">
        <v>43</v>
      </c>
      <c r="C14" s="14" t="s">
        <v>34</v>
      </c>
      <c r="D14" s="16"/>
      <c r="E14" s="15" t="s">
        <v>154</v>
      </c>
      <c r="F14" s="16"/>
      <c r="G14" s="16"/>
      <c r="H14" s="16"/>
      <c r="I14" s="16"/>
      <c r="J14" s="16"/>
      <c r="K14" s="16"/>
      <c r="L14" s="16"/>
      <c r="M14" s="16"/>
      <c r="N14" s="15" t="s">
        <v>154</v>
      </c>
      <c r="O14" s="16"/>
      <c r="P14" s="16"/>
      <c r="Q14" s="16"/>
      <c r="R14" s="16"/>
      <c r="S14">
        <f t="shared" si="0"/>
        <v>1</v>
      </c>
    </row>
    <row r="15" spans="1:19" x14ac:dyDescent="0.2">
      <c r="A15" s="82"/>
      <c r="B15" s="13" t="s">
        <v>16</v>
      </c>
      <c r="C15" s="14" t="s">
        <v>34</v>
      </c>
      <c r="D15" s="16"/>
      <c r="E15" s="15" t="s">
        <v>154</v>
      </c>
      <c r="F15" s="16"/>
      <c r="G15" s="16"/>
      <c r="H15" s="16"/>
      <c r="I15" s="16"/>
      <c r="J15" s="16"/>
      <c r="K15" s="16"/>
      <c r="L15" s="16"/>
      <c r="M15" s="16"/>
      <c r="N15" s="15" t="s">
        <v>154</v>
      </c>
      <c r="O15" s="16"/>
      <c r="P15" s="16"/>
      <c r="Q15" s="16"/>
      <c r="R15" s="16"/>
      <c r="S15">
        <f t="shared" si="0"/>
        <v>1</v>
      </c>
    </row>
    <row r="16" spans="1:19" x14ac:dyDescent="0.2">
      <c r="A16" s="82"/>
      <c r="B16" s="13" t="s">
        <v>56</v>
      </c>
      <c r="C16" s="14" t="s">
        <v>34</v>
      </c>
      <c r="D16" s="16"/>
      <c r="E16" s="15" t="s">
        <v>154</v>
      </c>
      <c r="F16" s="16"/>
      <c r="G16" s="16"/>
      <c r="H16" s="16"/>
      <c r="I16" s="16"/>
      <c r="J16" s="16"/>
      <c r="K16" s="16"/>
      <c r="L16" s="16"/>
      <c r="M16" s="16"/>
      <c r="N16" s="15" t="s">
        <v>154</v>
      </c>
      <c r="O16" s="16"/>
      <c r="P16" s="16"/>
      <c r="Q16" s="16"/>
      <c r="R16" s="16"/>
      <c r="S16">
        <f t="shared" si="0"/>
        <v>1</v>
      </c>
    </row>
    <row r="17" spans="1:19" x14ac:dyDescent="0.2">
      <c r="A17" s="82"/>
      <c r="B17" s="13" t="s">
        <v>44</v>
      </c>
      <c r="C17" s="14" t="s">
        <v>34</v>
      </c>
      <c r="D17" s="16"/>
      <c r="E17" s="15" t="s">
        <v>154</v>
      </c>
      <c r="F17" s="16"/>
      <c r="G17" s="16"/>
      <c r="H17" s="16"/>
      <c r="I17" s="16"/>
      <c r="J17" s="16"/>
      <c r="K17" s="16"/>
      <c r="L17" s="16"/>
      <c r="M17" s="16"/>
      <c r="N17" s="15" t="s">
        <v>154</v>
      </c>
      <c r="O17" s="16"/>
      <c r="P17" s="16"/>
      <c r="Q17" s="16"/>
      <c r="R17" s="16"/>
      <c r="S17">
        <f t="shared" si="0"/>
        <v>1</v>
      </c>
    </row>
    <row r="18" spans="1:19" x14ac:dyDescent="0.2">
      <c r="A18" s="82"/>
      <c r="B18" s="23" t="s">
        <v>45</v>
      </c>
      <c r="C18" s="24" t="s">
        <v>34</v>
      </c>
      <c r="D18" s="25"/>
      <c r="E18" s="26" t="s">
        <v>154</v>
      </c>
      <c r="F18" s="16"/>
      <c r="G18" s="16"/>
      <c r="H18" s="16"/>
      <c r="I18" s="16"/>
      <c r="J18" s="16"/>
      <c r="K18" s="16"/>
      <c r="L18" s="16"/>
      <c r="M18" s="16"/>
      <c r="N18" s="15" t="s">
        <v>154</v>
      </c>
      <c r="O18" s="16"/>
      <c r="P18" s="16"/>
      <c r="Q18" s="16"/>
      <c r="R18" s="15" t="s">
        <v>154</v>
      </c>
      <c r="S18">
        <f t="shared" si="0"/>
        <v>2</v>
      </c>
    </row>
    <row r="19" spans="1:19" ht="25.5" x14ac:dyDescent="0.2">
      <c r="A19" s="82"/>
      <c r="B19" s="13" t="s">
        <v>12</v>
      </c>
      <c r="C19" s="14" t="s">
        <v>34</v>
      </c>
      <c r="D19" s="16"/>
      <c r="E19" s="15" t="s">
        <v>154</v>
      </c>
      <c r="F19" s="16"/>
      <c r="G19" s="16"/>
      <c r="H19" s="16"/>
      <c r="I19" s="16"/>
      <c r="J19" s="16"/>
      <c r="K19" s="16"/>
      <c r="L19" s="16"/>
      <c r="M19" s="16"/>
      <c r="N19" s="15" t="s">
        <v>154</v>
      </c>
      <c r="O19" s="16"/>
      <c r="P19" s="16"/>
      <c r="Q19" s="16"/>
      <c r="R19" s="16"/>
      <c r="S19">
        <f t="shared" si="0"/>
        <v>1</v>
      </c>
    </row>
    <row r="20" spans="1:19" ht="25.5" x14ac:dyDescent="0.2">
      <c r="A20" s="82"/>
      <c r="B20" s="13" t="s">
        <v>46</v>
      </c>
      <c r="C20" s="14" t="s">
        <v>34</v>
      </c>
      <c r="D20" s="16"/>
      <c r="E20" s="15" t="s">
        <v>154</v>
      </c>
      <c r="F20" s="16"/>
      <c r="G20" s="16"/>
      <c r="H20" s="16"/>
      <c r="I20" s="16"/>
      <c r="J20" s="16"/>
      <c r="K20" s="16"/>
      <c r="L20" s="16"/>
      <c r="M20" s="16"/>
      <c r="N20" s="15" t="s">
        <v>154</v>
      </c>
      <c r="O20" s="16"/>
      <c r="P20" s="16"/>
      <c r="Q20" s="16"/>
      <c r="R20" s="16"/>
      <c r="S20">
        <f t="shared" si="0"/>
        <v>1</v>
      </c>
    </row>
    <row r="21" spans="1:19" x14ac:dyDescent="0.2">
      <c r="A21" s="82"/>
      <c r="B21" s="13" t="s">
        <v>47</v>
      </c>
      <c r="C21" s="14" t="s">
        <v>34</v>
      </c>
      <c r="D21" s="16"/>
      <c r="E21" s="15" t="s">
        <v>154</v>
      </c>
      <c r="F21" s="16"/>
      <c r="G21" s="16"/>
      <c r="H21" s="16"/>
      <c r="I21" s="16"/>
      <c r="J21" s="16"/>
      <c r="K21" s="16"/>
      <c r="L21" s="16"/>
      <c r="M21" s="16"/>
      <c r="N21" s="15" t="s">
        <v>154</v>
      </c>
      <c r="O21" s="15" t="s">
        <v>154</v>
      </c>
      <c r="P21" s="15" t="s">
        <v>154</v>
      </c>
      <c r="Q21" s="15" t="s">
        <v>154</v>
      </c>
      <c r="R21" s="15" t="s">
        <v>154</v>
      </c>
      <c r="S21">
        <f t="shared" si="0"/>
        <v>5</v>
      </c>
    </row>
    <row r="22" spans="1:19" x14ac:dyDescent="0.2">
      <c r="A22" s="82"/>
      <c r="B22" s="13" t="s">
        <v>73</v>
      </c>
      <c r="C22" s="14" t="s">
        <v>34</v>
      </c>
      <c r="D22" s="16"/>
      <c r="E22" s="15" t="s">
        <v>154</v>
      </c>
      <c r="F22" s="16"/>
      <c r="G22" s="16"/>
      <c r="H22" s="16"/>
      <c r="I22" s="16"/>
      <c r="J22" s="16"/>
      <c r="K22" s="16"/>
      <c r="L22" s="16"/>
      <c r="M22" s="16"/>
      <c r="N22" s="15" t="s">
        <v>154</v>
      </c>
      <c r="O22" s="15" t="s">
        <v>154</v>
      </c>
      <c r="P22" s="15" t="s">
        <v>154</v>
      </c>
      <c r="Q22" s="15" t="s">
        <v>154</v>
      </c>
      <c r="R22" s="16"/>
      <c r="S22">
        <f t="shared" si="0"/>
        <v>4</v>
      </c>
    </row>
    <row r="23" spans="1:19" x14ac:dyDescent="0.2">
      <c r="A23" s="82"/>
      <c r="B23" s="13" t="s">
        <v>49</v>
      </c>
      <c r="C23" s="14" t="s">
        <v>34</v>
      </c>
      <c r="D23" s="16"/>
      <c r="E23" s="15" t="s">
        <v>154</v>
      </c>
      <c r="F23" s="16"/>
      <c r="G23" s="16"/>
      <c r="H23" s="16"/>
      <c r="I23" s="16"/>
      <c r="J23" s="16"/>
      <c r="K23" s="16"/>
      <c r="L23" s="16"/>
      <c r="M23" s="16"/>
      <c r="N23" s="15" t="s">
        <v>154</v>
      </c>
      <c r="O23" s="15" t="s">
        <v>154</v>
      </c>
      <c r="P23" s="15" t="s">
        <v>154</v>
      </c>
      <c r="Q23" s="15" t="s">
        <v>154</v>
      </c>
      <c r="R23" s="16"/>
      <c r="S23">
        <f t="shared" si="0"/>
        <v>4</v>
      </c>
    </row>
    <row r="24" spans="1:19" x14ac:dyDescent="0.2">
      <c r="A24" s="82"/>
      <c r="B24" s="13" t="s">
        <v>14</v>
      </c>
      <c r="C24" s="14" t="s">
        <v>34</v>
      </c>
      <c r="D24" s="16"/>
      <c r="E24" s="15" t="s">
        <v>154</v>
      </c>
      <c r="F24" s="16"/>
      <c r="G24" s="16"/>
      <c r="H24" s="16"/>
      <c r="I24" s="16"/>
      <c r="J24" s="16"/>
      <c r="K24" s="16"/>
      <c r="L24" s="16"/>
      <c r="M24" s="16"/>
      <c r="N24" s="15" t="s">
        <v>154</v>
      </c>
      <c r="O24" s="15" t="s">
        <v>154</v>
      </c>
      <c r="P24" s="15" t="s">
        <v>154</v>
      </c>
      <c r="Q24" s="15" t="s">
        <v>154</v>
      </c>
      <c r="R24" s="16"/>
      <c r="S24">
        <f t="shared" si="0"/>
        <v>4</v>
      </c>
    </row>
    <row r="25" spans="1:19" x14ac:dyDescent="0.2">
      <c r="A25" s="82"/>
      <c r="B25" s="13" t="s">
        <v>52</v>
      </c>
      <c r="C25" s="14" t="s">
        <v>34</v>
      </c>
      <c r="D25" s="16"/>
      <c r="E25" s="15"/>
      <c r="F25" s="15" t="s">
        <v>154</v>
      </c>
      <c r="G25" s="16"/>
      <c r="H25" s="16"/>
      <c r="I25" s="16"/>
      <c r="J25" s="16"/>
      <c r="K25" s="16"/>
      <c r="L25" s="16"/>
      <c r="M25" s="16"/>
      <c r="N25" s="16"/>
      <c r="O25" s="15" t="s">
        <v>154</v>
      </c>
      <c r="P25" s="15" t="s">
        <v>154</v>
      </c>
      <c r="Q25" s="15" t="s">
        <v>154</v>
      </c>
      <c r="R25" s="16"/>
      <c r="S25">
        <f t="shared" si="0"/>
        <v>3</v>
      </c>
    </row>
    <row r="26" spans="1:19" x14ac:dyDescent="0.2">
      <c r="A26" s="82"/>
      <c r="B26" s="13" t="s">
        <v>53</v>
      </c>
      <c r="C26" s="14" t="s">
        <v>34</v>
      </c>
      <c r="D26" s="16"/>
      <c r="E26" s="15"/>
      <c r="F26" s="15" t="s">
        <v>154</v>
      </c>
      <c r="G26" s="16"/>
      <c r="H26" s="16"/>
      <c r="I26" s="16"/>
      <c r="J26" s="16"/>
      <c r="K26" s="16"/>
      <c r="L26" s="16"/>
      <c r="M26" s="16"/>
      <c r="N26" s="15" t="s">
        <v>154</v>
      </c>
      <c r="O26" s="16"/>
      <c r="P26" s="16"/>
      <c r="Q26" s="16"/>
      <c r="R26" s="16"/>
      <c r="S26">
        <f t="shared" si="0"/>
        <v>1</v>
      </c>
    </row>
    <row r="27" spans="1:19" x14ac:dyDescent="0.2">
      <c r="A27" s="82"/>
      <c r="B27" s="13" t="s">
        <v>27</v>
      </c>
      <c r="C27" s="14" t="s">
        <v>34</v>
      </c>
      <c r="D27" s="16"/>
      <c r="E27" s="15"/>
      <c r="F27" s="15" t="s">
        <v>154</v>
      </c>
      <c r="G27" s="16"/>
      <c r="H27" s="16"/>
      <c r="I27" s="16"/>
      <c r="J27" s="16"/>
      <c r="K27" s="16"/>
      <c r="L27" s="16"/>
      <c r="M27" s="16"/>
      <c r="N27" s="15" t="s">
        <v>154</v>
      </c>
      <c r="O27" s="16"/>
      <c r="P27" s="16"/>
      <c r="Q27" s="16"/>
      <c r="R27" s="16"/>
      <c r="S27">
        <f t="shared" si="0"/>
        <v>1</v>
      </c>
    </row>
    <row r="28" spans="1:19" x14ac:dyDescent="0.2">
      <c r="A28" s="82"/>
      <c r="B28" s="13" t="s">
        <v>54</v>
      </c>
      <c r="C28" s="14" t="s">
        <v>34</v>
      </c>
      <c r="D28" s="16"/>
      <c r="E28" s="15" t="s">
        <v>154</v>
      </c>
      <c r="F28" s="16"/>
      <c r="G28" s="16"/>
      <c r="H28" s="16"/>
      <c r="I28" s="16"/>
      <c r="J28" s="16"/>
      <c r="K28" s="16"/>
      <c r="L28" s="16"/>
      <c r="M28" s="16"/>
      <c r="N28" s="15" t="s">
        <v>154</v>
      </c>
      <c r="O28" s="16"/>
      <c r="P28" s="16"/>
      <c r="Q28" s="16"/>
      <c r="R28" s="16"/>
      <c r="S28">
        <f t="shared" si="0"/>
        <v>1</v>
      </c>
    </row>
    <row r="29" spans="1:19" x14ac:dyDescent="0.2">
      <c r="A29" s="82"/>
      <c r="B29" s="13" t="s">
        <v>55</v>
      </c>
      <c r="C29" s="14" t="s">
        <v>34</v>
      </c>
      <c r="D29" s="16"/>
      <c r="E29" s="15" t="s">
        <v>154</v>
      </c>
      <c r="F29" s="16"/>
      <c r="G29" s="16"/>
      <c r="H29" s="16"/>
      <c r="I29" s="16"/>
      <c r="J29" s="16"/>
      <c r="K29" s="16"/>
      <c r="L29" s="16"/>
      <c r="M29" s="16"/>
      <c r="N29" s="15" t="s">
        <v>154</v>
      </c>
      <c r="O29" s="15" t="s">
        <v>154</v>
      </c>
      <c r="P29" s="15" t="s">
        <v>154</v>
      </c>
      <c r="Q29" s="15" t="s">
        <v>154</v>
      </c>
      <c r="R29" s="16"/>
      <c r="S29">
        <f t="shared" si="0"/>
        <v>4</v>
      </c>
    </row>
    <row r="30" spans="1:19" x14ac:dyDescent="0.2">
      <c r="A30" s="82"/>
      <c r="B30" s="13" t="s">
        <v>51</v>
      </c>
      <c r="C30" s="14" t="s">
        <v>34</v>
      </c>
      <c r="D30" s="16"/>
      <c r="E30" s="15" t="s">
        <v>154</v>
      </c>
      <c r="F30" s="16"/>
      <c r="G30" s="16"/>
      <c r="H30" s="16"/>
      <c r="I30" s="16"/>
      <c r="J30" s="16"/>
      <c r="K30" s="16"/>
      <c r="L30" s="16"/>
      <c r="M30" s="16"/>
      <c r="N30" s="15" t="s">
        <v>154</v>
      </c>
      <c r="O30" s="15" t="s">
        <v>154</v>
      </c>
      <c r="P30" s="15" t="s">
        <v>154</v>
      </c>
      <c r="Q30" s="15" t="s">
        <v>154</v>
      </c>
      <c r="R30" s="16"/>
      <c r="S30">
        <f t="shared" si="0"/>
        <v>4</v>
      </c>
    </row>
    <row r="31" spans="1:19" x14ac:dyDescent="0.2">
      <c r="A31" s="82"/>
      <c r="B31" s="13" t="s">
        <v>138</v>
      </c>
      <c r="C31" s="14" t="s">
        <v>34</v>
      </c>
      <c r="D31" s="16"/>
      <c r="E31" s="15" t="s">
        <v>154</v>
      </c>
      <c r="F31" s="16"/>
      <c r="G31" s="16"/>
      <c r="H31" s="16"/>
      <c r="I31" s="16"/>
      <c r="J31" s="16"/>
      <c r="K31" s="16"/>
      <c r="L31" s="16"/>
      <c r="M31" s="16"/>
      <c r="N31" s="15" t="s">
        <v>154</v>
      </c>
      <c r="O31" s="15" t="s">
        <v>154</v>
      </c>
      <c r="P31" s="15" t="s">
        <v>154</v>
      </c>
      <c r="Q31" s="15" t="s">
        <v>154</v>
      </c>
      <c r="R31" s="16"/>
      <c r="S31">
        <f t="shared" si="0"/>
        <v>4</v>
      </c>
    </row>
    <row r="32" spans="1:19" ht="25.5" x14ac:dyDescent="0.2">
      <c r="A32" s="82"/>
      <c r="B32" s="13" t="s">
        <v>139</v>
      </c>
      <c r="C32" s="14" t="s">
        <v>34</v>
      </c>
      <c r="D32" s="16"/>
      <c r="E32" s="15" t="s">
        <v>154</v>
      </c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>
        <f t="shared" si="0"/>
        <v>0</v>
      </c>
    </row>
    <row r="33" spans="1:19" x14ac:dyDescent="0.2">
      <c r="A33" s="82"/>
      <c r="B33" s="13" t="s">
        <v>140</v>
      </c>
      <c r="C33" s="14" t="s">
        <v>34</v>
      </c>
      <c r="D33" s="16"/>
      <c r="E33" s="15" t="s">
        <v>154</v>
      </c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>
        <f t="shared" si="0"/>
        <v>0</v>
      </c>
    </row>
    <row r="34" spans="1:19" x14ac:dyDescent="0.2">
      <c r="A34" s="82"/>
      <c r="B34" s="13" t="s">
        <v>141</v>
      </c>
      <c r="C34" s="14" t="s">
        <v>34</v>
      </c>
      <c r="D34" s="15" t="s">
        <v>154</v>
      </c>
      <c r="E34" s="15"/>
      <c r="F34" s="16"/>
      <c r="G34" s="16"/>
      <c r="H34" s="16"/>
      <c r="I34" s="16"/>
      <c r="J34" s="15"/>
      <c r="K34" s="15"/>
      <c r="L34" s="16"/>
      <c r="M34" s="16"/>
      <c r="N34" s="16"/>
      <c r="O34" s="16"/>
      <c r="P34" s="16"/>
      <c r="Q34" s="16"/>
      <c r="R34" s="16"/>
      <c r="S34">
        <f t="shared" si="0"/>
        <v>0</v>
      </c>
    </row>
    <row r="35" spans="1:19" x14ac:dyDescent="0.2">
      <c r="A35" s="82"/>
      <c r="B35" s="13" t="s">
        <v>142</v>
      </c>
      <c r="C35" s="14" t="s">
        <v>34</v>
      </c>
      <c r="D35" s="15" t="s">
        <v>154</v>
      </c>
      <c r="E35" s="15"/>
      <c r="F35" s="16"/>
      <c r="G35" s="16"/>
      <c r="H35" s="16"/>
      <c r="I35" s="16"/>
      <c r="J35" s="15"/>
      <c r="K35" s="15"/>
      <c r="L35" s="16"/>
      <c r="M35" s="16"/>
      <c r="N35" s="16"/>
      <c r="O35" s="16"/>
      <c r="P35" s="16"/>
      <c r="Q35" s="16"/>
      <c r="R35" s="16"/>
      <c r="S35">
        <f t="shared" si="0"/>
        <v>0</v>
      </c>
    </row>
    <row r="36" spans="1:19" x14ac:dyDescent="0.2">
      <c r="A36" s="82"/>
      <c r="B36" s="13" t="s">
        <v>59</v>
      </c>
      <c r="C36" s="14" t="s">
        <v>34</v>
      </c>
      <c r="D36" s="15" t="s">
        <v>154</v>
      </c>
      <c r="E36" s="15"/>
      <c r="F36" s="16"/>
      <c r="G36" s="16"/>
      <c r="H36" s="16"/>
      <c r="I36" s="16"/>
      <c r="J36" s="15"/>
      <c r="K36" s="15"/>
      <c r="L36" s="16"/>
      <c r="M36" s="16"/>
      <c r="N36" s="16"/>
      <c r="O36" s="16"/>
      <c r="P36" s="16"/>
      <c r="Q36" s="16"/>
      <c r="R36" s="16"/>
      <c r="S36">
        <f t="shared" si="0"/>
        <v>0</v>
      </c>
    </row>
    <row r="37" spans="1:19" x14ac:dyDescent="0.2">
      <c r="A37" s="82"/>
      <c r="B37" s="13" t="s">
        <v>60</v>
      </c>
      <c r="C37" s="14" t="s">
        <v>34</v>
      </c>
      <c r="D37" s="15" t="s">
        <v>154</v>
      </c>
      <c r="E37" s="15"/>
      <c r="F37" s="16"/>
      <c r="G37" s="16"/>
      <c r="H37" s="16"/>
      <c r="I37" s="16"/>
      <c r="J37" s="15"/>
      <c r="K37" s="15"/>
      <c r="L37" s="16"/>
      <c r="M37" s="16"/>
      <c r="N37" s="16"/>
      <c r="O37" s="16"/>
      <c r="P37" s="16"/>
      <c r="Q37" s="16"/>
      <c r="R37" s="16"/>
      <c r="S37">
        <f t="shared" si="0"/>
        <v>0</v>
      </c>
    </row>
    <row r="38" spans="1:19" ht="25.5" x14ac:dyDescent="0.2">
      <c r="A38" s="82"/>
      <c r="B38" s="13" t="s">
        <v>63</v>
      </c>
      <c r="C38" s="14" t="s">
        <v>34</v>
      </c>
      <c r="D38" s="15" t="s">
        <v>154</v>
      </c>
      <c r="E38" s="15" t="s">
        <v>154</v>
      </c>
      <c r="F38" s="16"/>
      <c r="G38" s="16"/>
      <c r="H38" s="16"/>
      <c r="I38" s="16"/>
      <c r="J38" s="15"/>
      <c r="K38" s="15"/>
      <c r="L38" s="16"/>
      <c r="M38" s="16"/>
      <c r="N38" s="16"/>
      <c r="O38" s="16"/>
      <c r="P38" s="16"/>
      <c r="Q38" s="16"/>
      <c r="R38" s="16"/>
      <c r="S38">
        <f t="shared" si="0"/>
        <v>0</v>
      </c>
    </row>
    <row r="39" spans="1:19" x14ac:dyDescent="0.2">
      <c r="A39" s="82"/>
      <c r="B39" s="13" t="s">
        <v>102</v>
      </c>
      <c r="C39" s="14" t="s">
        <v>34</v>
      </c>
      <c r="D39" s="15" t="s">
        <v>154</v>
      </c>
      <c r="E39" s="15" t="s">
        <v>154</v>
      </c>
      <c r="F39" s="16"/>
      <c r="G39" s="16"/>
      <c r="H39" s="16"/>
      <c r="I39" s="16"/>
      <c r="J39" s="15"/>
      <c r="K39" s="15"/>
      <c r="L39" s="16"/>
      <c r="M39" s="16"/>
      <c r="N39" s="16"/>
      <c r="O39" s="16"/>
      <c r="P39" s="16"/>
      <c r="Q39" s="16"/>
      <c r="R39" s="16"/>
      <c r="S39">
        <f t="shared" si="0"/>
        <v>0</v>
      </c>
    </row>
    <row r="40" spans="1:19" x14ac:dyDescent="0.2">
      <c r="A40" s="82"/>
      <c r="B40" s="13" t="s">
        <v>103</v>
      </c>
      <c r="C40" s="14" t="s">
        <v>34</v>
      </c>
      <c r="D40" s="15" t="s">
        <v>154</v>
      </c>
      <c r="E40" s="16"/>
      <c r="F40" s="16"/>
      <c r="G40" s="16"/>
      <c r="H40" s="16"/>
      <c r="I40" s="16"/>
      <c r="J40" s="15"/>
      <c r="K40" s="15"/>
      <c r="L40" s="16"/>
      <c r="M40" s="16"/>
      <c r="N40" s="16"/>
      <c r="O40" s="16"/>
      <c r="P40" s="16"/>
      <c r="Q40" s="16"/>
      <c r="R40" s="16"/>
      <c r="S40">
        <f t="shared" si="0"/>
        <v>0</v>
      </c>
    </row>
    <row r="41" spans="1:19" x14ac:dyDescent="0.2">
      <c r="A41" s="82"/>
      <c r="B41" s="13" t="s">
        <v>104</v>
      </c>
      <c r="C41" s="14" t="s">
        <v>34</v>
      </c>
      <c r="D41" s="15" t="s">
        <v>154</v>
      </c>
      <c r="E41" s="15" t="s">
        <v>154</v>
      </c>
      <c r="F41" s="15" t="s">
        <v>154</v>
      </c>
      <c r="G41" s="16"/>
      <c r="H41" s="16"/>
      <c r="I41" s="16"/>
      <c r="J41" s="15"/>
      <c r="K41" s="15"/>
      <c r="L41" s="16"/>
      <c r="M41" s="16"/>
      <c r="N41" s="15" t="s">
        <v>154</v>
      </c>
      <c r="O41" s="15" t="s">
        <v>154</v>
      </c>
      <c r="P41" s="15" t="s">
        <v>154</v>
      </c>
      <c r="Q41" s="15" t="s">
        <v>154</v>
      </c>
      <c r="R41" s="16"/>
      <c r="S41">
        <f t="shared" si="0"/>
        <v>4</v>
      </c>
    </row>
    <row r="42" spans="1:19" x14ac:dyDescent="0.2">
      <c r="A42" s="82"/>
      <c r="B42" s="13" t="s">
        <v>57</v>
      </c>
      <c r="C42" s="14" t="s">
        <v>34</v>
      </c>
      <c r="D42" s="15" t="s">
        <v>154</v>
      </c>
      <c r="E42" s="16"/>
      <c r="F42" s="16"/>
      <c r="G42" s="16"/>
      <c r="H42" s="16"/>
      <c r="I42" s="16"/>
      <c r="J42" s="15"/>
      <c r="K42" s="15"/>
      <c r="L42" s="16"/>
      <c r="M42" s="16"/>
      <c r="N42" s="16"/>
      <c r="O42" s="16"/>
      <c r="P42" s="16"/>
      <c r="Q42" s="16"/>
      <c r="R42" s="16"/>
      <c r="S42">
        <f t="shared" si="0"/>
        <v>0</v>
      </c>
    </row>
    <row r="43" spans="1:19" x14ac:dyDescent="0.2">
      <c r="A43" s="82"/>
      <c r="B43" s="13" t="s">
        <v>61</v>
      </c>
      <c r="C43" s="14" t="s">
        <v>34</v>
      </c>
      <c r="D43" s="15" t="s">
        <v>154</v>
      </c>
      <c r="E43" s="16"/>
      <c r="F43" s="16"/>
      <c r="G43" s="16"/>
      <c r="H43" s="16"/>
      <c r="I43" s="16"/>
      <c r="J43" s="15"/>
      <c r="K43" s="15"/>
      <c r="L43" s="16"/>
      <c r="M43" s="16"/>
      <c r="N43" s="16"/>
      <c r="O43" s="16"/>
      <c r="P43" s="16"/>
      <c r="Q43" s="16"/>
      <c r="R43" s="16"/>
      <c r="S43">
        <f t="shared" si="0"/>
        <v>0</v>
      </c>
    </row>
    <row r="44" spans="1:19" x14ac:dyDescent="0.2">
      <c r="A44" s="82"/>
      <c r="B44" s="23" t="s">
        <v>172</v>
      </c>
      <c r="C44" s="24" t="s">
        <v>34</v>
      </c>
      <c r="D44" s="26" t="s">
        <v>154</v>
      </c>
      <c r="E44" s="16"/>
      <c r="F44" s="16"/>
      <c r="G44" s="16"/>
      <c r="H44" s="16"/>
      <c r="I44" s="16"/>
      <c r="J44" s="15"/>
      <c r="K44" s="15"/>
      <c r="L44" s="16"/>
      <c r="M44" s="16"/>
      <c r="N44" s="16"/>
      <c r="O44" s="16"/>
      <c r="P44" s="16"/>
      <c r="Q44" s="16"/>
      <c r="R44" s="16"/>
      <c r="S44">
        <f t="shared" si="0"/>
        <v>0</v>
      </c>
    </row>
    <row r="45" spans="1:19" x14ac:dyDescent="0.2">
      <c r="A45" s="82"/>
      <c r="B45" s="13" t="s">
        <v>58</v>
      </c>
      <c r="C45" s="14" t="s">
        <v>34</v>
      </c>
      <c r="D45" s="15" t="s">
        <v>154</v>
      </c>
      <c r="E45" s="16"/>
      <c r="F45" s="16"/>
      <c r="G45" s="16"/>
      <c r="H45" s="16"/>
      <c r="I45" s="16"/>
      <c r="J45" s="15"/>
      <c r="K45" s="15"/>
      <c r="L45" s="16"/>
      <c r="M45" s="16"/>
      <c r="N45" s="16"/>
      <c r="O45" s="16"/>
      <c r="P45" s="16"/>
      <c r="Q45" s="16"/>
      <c r="R45" s="16"/>
      <c r="S45">
        <f t="shared" si="0"/>
        <v>0</v>
      </c>
    </row>
    <row r="46" spans="1:19" x14ac:dyDescent="0.2">
      <c r="A46" s="82"/>
      <c r="B46" s="13" t="s">
        <v>68</v>
      </c>
      <c r="C46" s="14" t="s">
        <v>34</v>
      </c>
      <c r="D46" s="15" t="s">
        <v>154</v>
      </c>
      <c r="E46" s="16"/>
      <c r="F46" s="16"/>
      <c r="G46" s="16"/>
      <c r="H46" s="16"/>
      <c r="I46" s="16"/>
      <c r="J46" s="15"/>
      <c r="K46" s="15"/>
      <c r="L46" s="16"/>
      <c r="M46" s="16"/>
      <c r="N46" s="16"/>
      <c r="O46" s="16"/>
      <c r="P46" s="16"/>
      <c r="Q46" s="16"/>
      <c r="R46" s="16"/>
      <c r="S46">
        <f t="shared" si="0"/>
        <v>0</v>
      </c>
    </row>
    <row r="47" spans="1:19" x14ac:dyDescent="0.2">
      <c r="A47" s="82"/>
      <c r="B47" s="13" t="s">
        <v>101</v>
      </c>
      <c r="C47" s="14" t="s">
        <v>34</v>
      </c>
      <c r="D47" s="15" t="s">
        <v>154</v>
      </c>
      <c r="E47" s="16"/>
      <c r="F47" s="16"/>
      <c r="G47" s="16"/>
      <c r="H47" s="16"/>
      <c r="I47" s="16"/>
      <c r="J47" s="15"/>
      <c r="K47" s="15"/>
      <c r="L47" s="16"/>
      <c r="M47" s="16"/>
      <c r="N47" s="16"/>
      <c r="O47" s="16"/>
      <c r="P47" s="16"/>
      <c r="Q47" s="16"/>
      <c r="R47" s="16"/>
      <c r="S47">
        <f t="shared" si="0"/>
        <v>0</v>
      </c>
    </row>
    <row r="48" spans="1:19" x14ac:dyDescent="0.2">
      <c r="A48" s="82"/>
      <c r="B48" s="13" t="s">
        <v>65</v>
      </c>
      <c r="C48" s="14" t="s">
        <v>34</v>
      </c>
      <c r="D48" s="16"/>
      <c r="E48" s="15" t="s">
        <v>154</v>
      </c>
      <c r="F48" s="16"/>
      <c r="G48" s="16"/>
      <c r="H48" s="16"/>
      <c r="I48" s="16"/>
      <c r="J48" s="16"/>
      <c r="K48" s="16"/>
      <c r="L48" s="16"/>
      <c r="M48" s="16"/>
      <c r="N48" s="15" t="s">
        <v>154</v>
      </c>
      <c r="O48" s="15" t="s">
        <v>154</v>
      </c>
      <c r="P48" s="15" t="s">
        <v>154</v>
      </c>
      <c r="Q48" s="15" t="s">
        <v>154</v>
      </c>
      <c r="R48" s="16"/>
      <c r="S48">
        <f t="shared" si="0"/>
        <v>4</v>
      </c>
    </row>
    <row r="49" spans="1:19" ht="25.5" x14ac:dyDescent="0.2">
      <c r="A49" s="82"/>
      <c r="B49" s="13" t="s">
        <v>64</v>
      </c>
      <c r="C49" s="14" t="s">
        <v>34</v>
      </c>
      <c r="D49" s="15" t="s">
        <v>154</v>
      </c>
      <c r="E49" s="16"/>
      <c r="F49" s="16"/>
      <c r="G49" s="16"/>
      <c r="H49" s="16"/>
      <c r="I49" s="16"/>
      <c r="J49" s="15"/>
      <c r="K49" s="15"/>
      <c r="L49" s="16"/>
      <c r="M49" s="16"/>
      <c r="N49" s="16"/>
      <c r="O49" s="16"/>
      <c r="P49" s="16"/>
      <c r="Q49" s="16"/>
      <c r="R49" s="16"/>
      <c r="S49">
        <f t="shared" si="0"/>
        <v>0</v>
      </c>
    </row>
    <row r="50" spans="1:19" x14ac:dyDescent="0.2">
      <c r="A50" s="82"/>
      <c r="B50" s="13" t="s">
        <v>66</v>
      </c>
      <c r="C50" s="14" t="s">
        <v>34</v>
      </c>
      <c r="D50" s="15" t="s">
        <v>154</v>
      </c>
      <c r="E50" s="15" t="s">
        <v>154</v>
      </c>
      <c r="F50" s="16"/>
      <c r="G50" s="16"/>
      <c r="H50" s="16"/>
      <c r="I50" s="16"/>
      <c r="J50" s="15"/>
      <c r="K50" s="15"/>
      <c r="L50" s="16"/>
      <c r="M50" s="16"/>
      <c r="N50" s="15" t="s">
        <v>154</v>
      </c>
      <c r="O50" s="15" t="s">
        <v>154</v>
      </c>
      <c r="P50" s="15" t="s">
        <v>154</v>
      </c>
      <c r="Q50" s="15" t="s">
        <v>154</v>
      </c>
      <c r="R50" s="16"/>
      <c r="S50">
        <f t="shared" si="0"/>
        <v>4</v>
      </c>
    </row>
    <row r="51" spans="1:19" ht="25.5" x14ac:dyDescent="0.2">
      <c r="A51" s="82"/>
      <c r="B51" s="13" t="s">
        <v>71</v>
      </c>
      <c r="C51" s="14" t="s">
        <v>34</v>
      </c>
      <c r="D51" s="15" t="s">
        <v>154</v>
      </c>
      <c r="E51" s="16"/>
      <c r="F51" s="16"/>
      <c r="G51" s="16"/>
      <c r="H51" s="16"/>
      <c r="I51" s="16"/>
      <c r="J51" s="15"/>
      <c r="K51" s="15"/>
      <c r="L51" s="16"/>
      <c r="M51" s="16"/>
      <c r="N51" s="16"/>
      <c r="O51" s="16"/>
      <c r="P51" s="16"/>
      <c r="Q51" s="16"/>
      <c r="R51" s="16"/>
      <c r="S51">
        <f t="shared" si="0"/>
        <v>0</v>
      </c>
    </row>
    <row r="52" spans="1:19" ht="25.5" x14ac:dyDescent="0.2">
      <c r="A52" s="82"/>
      <c r="B52" s="13" t="s">
        <v>70</v>
      </c>
      <c r="C52" s="14" t="s">
        <v>34</v>
      </c>
      <c r="D52" s="15" t="s">
        <v>154</v>
      </c>
      <c r="E52" s="16"/>
      <c r="F52" s="16"/>
      <c r="G52" s="16"/>
      <c r="H52" s="16"/>
      <c r="I52" s="16"/>
      <c r="J52" s="15"/>
      <c r="K52" s="15"/>
      <c r="L52" s="16"/>
      <c r="M52" s="16"/>
      <c r="N52" s="16"/>
      <c r="O52" s="16"/>
      <c r="P52" s="16"/>
      <c r="Q52" s="16"/>
      <c r="R52" s="16"/>
      <c r="S52">
        <f t="shared" si="0"/>
        <v>0</v>
      </c>
    </row>
    <row r="53" spans="1:19" x14ac:dyDescent="0.2">
      <c r="A53" s="82"/>
      <c r="B53" s="13" t="s">
        <v>72</v>
      </c>
      <c r="C53" s="14" t="s">
        <v>34</v>
      </c>
      <c r="D53" s="16"/>
      <c r="E53" s="16"/>
      <c r="F53" s="15" t="s">
        <v>154</v>
      </c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>
        <f t="shared" si="0"/>
        <v>0</v>
      </c>
    </row>
    <row r="54" spans="1:19" x14ac:dyDescent="0.2">
      <c r="A54" s="82"/>
      <c r="B54" s="13" t="s">
        <v>76</v>
      </c>
      <c r="C54" s="14" t="s">
        <v>34</v>
      </c>
      <c r="D54" s="16"/>
      <c r="E54" s="15" t="s">
        <v>154</v>
      </c>
      <c r="F54" s="16"/>
      <c r="G54" s="16"/>
      <c r="H54" s="16"/>
      <c r="I54" s="16"/>
      <c r="J54" s="16"/>
      <c r="K54" s="16"/>
      <c r="L54" s="16"/>
      <c r="M54" s="16"/>
      <c r="N54" s="15" t="s">
        <v>154</v>
      </c>
      <c r="O54" s="15"/>
      <c r="P54" s="15"/>
      <c r="Q54" s="15" t="s">
        <v>154</v>
      </c>
      <c r="R54" s="16"/>
      <c r="S54">
        <f t="shared" si="0"/>
        <v>2</v>
      </c>
    </row>
    <row r="55" spans="1:19" x14ac:dyDescent="0.2">
      <c r="A55" s="82"/>
      <c r="B55" s="13" t="s">
        <v>74</v>
      </c>
      <c r="C55" s="14" t="s">
        <v>34</v>
      </c>
      <c r="D55" s="15" t="s">
        <v>173</v>
      </c>
      <c r="E55" s="15" t="s">
        <v>154</v>
      </c>
      <c r="F55" s="16"/>
      <c r="G55" s="16"/>
      <c r="H55" s="16"/>
      <c r="I55" s="16"/>
      <c r="J55" s="15"/>
      <c r="K55" s="15"/>
      <c r="L55" s="16"/>
      <c r="M55" s="16"/>
      <c r="N55" s="16"/>
      <c r="O55" s="16"/>
      <c r="P55" s="16"/>
      <c r="Q55" s="16"/>
      <c r="R55" s="16"/>
      <c r="S55">
        <f t="shared" si="0"/>
        <v>0</v>
      </c>
    </row>
    <row r="56" spans="1:19" ht="25.5" x14ac:dyDescent="0.2">
      <c r="A56" s="82"/>
      <c r="B56" s="13" t="s">
        <v>75</v>
      </c>
      <c r="C56" s="14" t="s">
        <v>34</v>
      </c>
      <c r="D56" s="15" t="s">
        <v>173</v>
      </c>
      <c r="E56" s="15" t="s">
        <v>154</v>
      </c>
      <c r="F56" s="16"/>
      <c r="G56" s="16"/>
      <c r="H56" s="16"/>
      <c r="I56" s="16"/>
      <c r="J56" s="15"/>
      <c r="K56" s="15"/>
      <c r="L56" s="16"/>
      <c r="M56" s="16"/>
      <c r="N56" s="16"/>
      <c r="O56" s="16"/>
      <c r="P56" s="16"/>
      <c r="Q56" s="16"/>
      <c r="R56" s="16"/>
      <c r="S56">
        <f t="shared" si="0"/>
        <v>0</v>
      </c>
    </row>
    <row r="57" spans="1:19" x14ac:dyDescent="0.2">
      <c r="A57" s="82"/>
      <c r="B57" s="13" t="s">
        <v>85</v>
      </c>
      <c r="C57" s="14" t="s">
        <v>34</v>
      </c>
      <c r="D57" s="15"/>
      <c r="E57" s="15" t="s">
        <v>154</v>
      </c>
      <c r="F57" s="15"/>
      <c r="G57" s="15"/>
      <c r="H57" s="15"/>
      <c r="I57" s="15"/>
      <c r="J57" s="15"/>
      <c r="K57" s="15"/>
      <c r="L57" s="15"/>
      <c r="M57" s="15"/>
      <c r="N57" s="15" t="s">
        <v>154</v>
      </c>
      <c r="O57" s="15"/>
      <c r="P57" s="15"/>
      <c r="Q57" s="15"/>
      <c r="R57" s="15"/>
      <c r="S57">
        <f t="shared" si="0"/>
        <v>1</v>
      </c>
    </row>
    <row r="58" spans="1:19" x14ac:dyDescent="0.2">
      <c r="A58" s="82"/>
      <c r="B58" s="13" t="s">
        <v>77</v>
      </c>
      <c r="C58" s="14" t="s">
        <v>34</v>
      </c>
      <c r="D58" s="15"/>
      <c r="E58" s="15" t="s">
        <v>154</v>
      </c>
      <c r="F58" s="15"/>
      <c r="G58" s="15"/>
      <c r="H58" s="15"/>
      <c r="I58" s="15"/>
      <c r="J58" s="15"/>
      <c r="K58" s="15"/>
      <c r="L58" s="15"/>
      <c r="M58" s="15"/>
      <c r="N58" s="15" t="s">
        <v>154</v>
      </c>
      <c r="O58" s="15"/>
      <c r="P58" s="15"/>
      <c r="Q58" s="15"/>
      <c r="R58" s="15"/>
      <c r="S58">
        <f t="shared" si="0"/>
        <v>1</v>
      </c>
    </row>
    <row r="59" spans="1:19" x14ac:dyDescent="0.2">
      <c r="A59" s="82"/>
      <c r="B59" s="13" t="s">
        <v>124</v>
      </c>
      <c r="C59" s="14" t="s">
        <v>34</v>
      </c>
      <c r="D59" s="15" t="s">
        <v>154</v>
      </c>
      <c r="E59" s="15"/>
      <c r="F59" s="15"/>
      <c r="G59" s="15"/>
      <c r="H59" s="15"/>
      <c r="I59" s="15"/>
      <c r="J59" s="15"/>
      <c r="K59" s="15"/>
      <c r="L59" s="15"/>
      <c r="M59" s="15"/>
      <c r="N59" s="15" t="s">
        <v>154</v>
      </c>
      <c r="O59" s="15"/>
      <c r="P59" s="15"/>
      <c r="Q59" s="15"/>
      <c r="R59" s="15"/>
      <c r="S59">
        <f t="shared" si="0"/>
        <v>1</v>
      </c>
    </row>
    <row r="60" spans="1:19" x14ac:dyDescent="0.2">
      <c r="A60" s="82"/>
      <c r="B60" s="13" t="s">
        <v>90</v>
      </c>
      <c r="C60" s="14" t="s">
        <v>34</v>
      </c>
      <c r="D60" s="15" t="s">
        <v>154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>
        <f t="shared" si="0"/>
        <v>0</v>
      </c>
    </row>
    <row r="61" spans="1:19" ht="25.5" x14ac:dyDescent="0.2">
      <c r="A61" s="82"/>
      <c r="B61" s="13" t="s">
        <v>98</v>
      </c>
      <c r="C61" s="14" t="s">
        <v>34</v>
      </c>
      <c r="D61" s="15" t="s">
        <v>154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>
        <f t="shared" si="0"/>
        <v>0</v>
      </c>
    </row>
    <row r="62" spans="1:19" ht="25.5" x14ac:dyDescent="0.2">
      <c r="A62" s="82"/>
      <c r="B62" s="13" t="s">
        <v>79</v>
      </c>
      <c r="C62" s="14" t="s">
        <v>34</v>
      </c>
      <c r="D62" s="15" t="s">
        <v>154</v>
      </c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>
        <f t="shared" si="0"/>
        <v>0</v>
      </c>
    </row>
    <row r="63" spans="1:19" ht="25.5" x14ac:dyDescent="0.2">
      <c r="A63" s="82"/>
      <c r="B63" s="13" t="s">
        <v>78</v>
      </c>
      <c r="C63" s="14" t="s">
        <v>34</v>
      </c>
      <c r="D63" s="15"/>
      <c r="E63" s="15"/>
      <c r="F63" s="15" t="s">
        <v>154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>
        <f t="shared" si="0"/>
        <v>0</v>
      </c>
    </row>
    <row r="64" spans="1:19" ht="25.5" x14ac:dyDescent="0.2">
      <c r="A64" s="82"/>
      <c r="B64" s="13" t="s">
        <v>80</v>
      </c>
      <c r="C64" s="14" t="s">
        <v>34</v>
      </c>
      <c r="D64" s="15"/>
      <c r="E64" s="15"/>
      <c r="F64" s="15" t="s">
        <v>154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>
        <f t="shared" si="0"/>
        <v>0</v>
      </c>
    </row>
    <row r="65" spans="1:19" x14ac:dyDescent="0.2">
      <c r="A65" s="82"/>
      <c r="B65" s="13" t="s">
        <v>52</v>
      </c>
      <c r="C65" s="14" t="s">
        <v>34</v>
      </c>
      <c r="D65" s="15"/>
      <c r="E65" s="15" t="s">
        <v>154</v>
      </c>
      <c r="F65" s="15" t="s">
        <v>154</v>
      </c>
      <c r="G65" s="15"/>
      <c r="H65" s="15"/>
      <c r="I65" s="15"/>
      <c r="J65" s="15"/>
      <c r="K65" s="15"/>
      <c r="L65" s="15"/>
      <c r="M65" s="15"/>
      <c r="N65" s="15" t="s">
        <v>154</v>
      </c>
      <c r="O65" s="15" t="s">
        <v>154</v>
      </c>
      <c r="P65" s="15" t="s">
        <v>154</v>
      </c>
      <c r="Q65" s="15" t="s">
        <v>154</v>
      </c>
      <c r="R65" s="15"/>
      <c r="S65">
        <f t="shared" si="0"/>
        <v>4</v>
      </c>
    </row>
    <row r="66" spans="1:19" x14ac:dyDescent="0.2">
      <c r="A66" s="82"/>
      <c r="B66" s="13" t="s">
        <v>81</v>
      </c>
      <c r="C66" s="14" t="s">
        <v>34</v>
      </c>
      <c r="D66" s="15"/>
      <c r="E66" s="15" t="s">
        <v>154</v>
      </c>
      <c r="F66" s="15" t="s">
        <v>154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>
        <f t="shared" si="0"/>
        <v>0</v>
      </c>
    </row>
    <row r="67" spans="1:19" x14ac:dyDescent="0.2">
      <c r="A67" s="82"/>
      <c r="B67" s="13" t="s">
        <v>27</v>
      </c>
      <c r="C67" s="14" t="s">
        <v>34</v>
      </c>
      <c r="D67" s="15"/>
      <c r="E67" s="15" t="s">
        <v>154</v>
      </c>
      <c r="F67" s="15" t="s">
        <v>154</v>
      </c>
      <c r="G67" s="15"/>
      <c r="H67" s="15"/>
      <c r="I67" s="15"/>
      <c r="J67" s="15"/>
      <c r="K67" s="15"/>
      <c r="L67" s="15"/>
      <c r="M67" s="15"/>
      <c r="N67" s="15" t="s">
        <v>154</v>
      </c>
      <c r="O67" s="15" t="s">
        <v>154</v>
      </c>
      <c r="P67" s="15" t="s">
        <v>154</v>
      </c>
      <c r="Q67" s="15" t="s">
        <v>154</v>
      </c>
      <c r="R67" s="15"/>
      <c r="S67">
        <f t="shared" si="0"/>
        <v>4</v>
      </c>
    </row>
    <row r="68" spans="1:19" x14ac:dyDescent="0.2">
      <c r="A68" s="82"/>
      <c r="B68" s="13" t="s">
        <v>54</v>
      </c>
      <c r="C68" s="14" t="s">
        <v>34</v>
      </c>
      <c r="D68" s="15"/>
      <c r="E68" s="15" t="s">
        <v>154</v>
      </c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>
        <f t="shared" si="0"/>
        <v>0</v>
      </c>
    </row>
    <row r="69" spans="1:19" x14ac:dyDescent="0.2">
      <c r="A69" s="82"/>
      <c r="B69" s="13" t="s">
        <v>55</v>
      </c>
      <c r="C69" s="14" t="s">
        <v>34</v>
      </c>
      <c r="D69" s="15"/>
      <c r="E69" s="15" t="s">
        <v>154</v>
      </c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>
        <f t="shared" ref="S69:S97" si="1">COUNTA(N69:R69)</f>
        <v>0</v>
      </c>
    </row>
    <row r="70" spans="1:19" x14ac:dyDescent="0.2">
      <c r="A70" s="82"/>
      <c r="B70" s="23" t="s">
        <v>86</v>
      </c>
      <c r="C70" s="24" t="s">
        <v>34</v>
      </c>
      <c r="D70" s="26"/>
      <c r="E70" s="26" t="s">
        <v>154</v>
      </c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>
        <f t="shared" si="1"/>
        <v>0</v>
      </c>
    </row>
    <row r="71" spans="1:19" x14ac:dyDescent="0.2">
      <c r="A71" s="82"/>
      <c r="B71" s="13" t="s">
        <v>56</v>
      </c>
      <c r="C71" s="14" t="s">
        <v>34</v>
      </c>
      <c r="D71" s="15"/>
      <c r="E71" s="15" t="s">
        <v>154</v>
      </c>
      <c r="F71" s="15"/>
      <c r="G71" s="15"/>
      <c r="H71" s="15"/>
      <c r="I71" s="15"/>
      <c r="J71" s="15"/>
      <c r="K71" s="15"/>
      <c r="L71" s="15"/>
      <c r="M71" s="15"/>
      <c r="N71" s="15" t="s">
        <v>154</v>
      </c>
      <c r="O71" s="15" t="s">
        <v>154</v>
      </c>
      <c r="P71" s="15" t="s">
        <v>154</v>
      </c>
      <c r="Q71" s="15" t="s">
        <v>154</v>
      </c>
      <c r="R71" s="15"/>
      <c r="S71">
        <f t="shared" si="1"/>
        <v>4</v>
      </c>
    </row>
    <row r="72" spans="1:19" ht="25.5" x14ac:dyDescent="0.2">
      <c r="A72" s="82"/>
      <c r="B72" s="13" t="s">
        <v>87</v>
      </c>
      <c r="C72" s="14" t="s">
        <v>34</v>
      </c>
      <c r="D72" s="15"/>
      <c r="E72" s="15" t="s">
        <v>154</v>
      </c>
      <c r="F72" s="15"/>
      <c r="G72" s="15"/>
      <c r="H72" s="15"/>
      <c r="I72" s="15"/>
      <c r="J72" s="15"/>
      <c r="K72" s="15"/>
      <c r="L72" s="15"/>
      <c r="M72" s="15"/>
      <c r="N72" s="15" t="s">
        <v>154</v>
      </c>
      <c r="O72" s="15" t="s">
        <v>154</v>
      </c>
      <c r="P72" s="15" t="s">
        <v>154</v>
      </c>
      <c r="Q72" s="15" t="s">
        <v>154</v>
      </c>
      <c r="R72" s="15"/>
      <c r="S72">
        <f t="shared" si="1"/>
        <v>4</v>
      </c>
    </row>
    <row r="73" spans="1:19" x14ac:dyDescent="0.2">
      <c r="A73" s="82"/>
      <c r="B73" s="13" t="s">
        <v>89</v>
      </c>
      <c r="C73" s="14" t="s">
        <v>34</v>
      </c>
      <c r="D73" s="15" t="s">
        <v>154</v>
      </c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>
        <f t="shared" si="1"/>
        <v>0</v>
      </c>
    </row>
    <row r="74" spans="1:19" x14ac:dyDescent="0.2">
      <c r="A74" s="82"/>
      <c r="B74" s="13" t="s">
        <v>69</v>
      </c>
      <c r="C74" s="14" t="s">
        <v>34</v>
      </c>
      <c r="D74" s="15"/>
      <c r="E74" s="15"/>
      <c r="F74" s="15" t="s">
        <v>154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>
        <f t="shared" si="1"/>
        <v>0</v>
      </c>
    </row>
    <row r="75" spans="1:19" x14ac:dyDescent="0.2">
      <c r="A75" s="82"/>
      <c r="B75" s="13" t="s">
        <v>82</v>
      </c>
      <c r="C75" s="14" t="s">
        <v>34</v>
      </c>
      <c r="D75" s="15" t="s">
        <v>154</v>
      </c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>
        <f t="shared" si="1"/>
        <v>0</v>
      </c>
    </row>
    <row r="76" spans="1:19" x14ac:dyDescent="0.2">
      <c r="A76" s="82"/>
      <c r="B76" s="13" t="s">
        <v>83</v>
      </c>
      <c r="C76" s="14" t="s">
        <v>34</v>
      </c>
      <c r="D76" s="15" t="s">
        <v>154</v>
      </c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>
        <f t="shared" si="1"/>
        <v>0</v>
      </c>
    </row>
    <row r="77" spans="1:19" x14ac:dyDescent="0.2">
      <c r="A77" s="82"/>
      <c r="B77" s="13" t="s">
        <v>91</v>
      </c>
      <c r="C77" s="14" t="s">
        <v>34</v>
      </c>
      <c r="D77" s="15" t="s">
        <v>154</v>
      </c>
      <c r="E77" s="15" t="s">
        <v>154</v>
      </c>
      <c r="F77" s="15"/>
      <c r="G77" s="15"/>
      <c r="H77" s="15"/>
      <c r="I77" s="15"/>
      <c r="J77" s="15"/>
      <c r="K77" s="15"/>
      <c r="L77" s="15"/>
      <c r="M77" s="15"/>
      <c r="N77" s="15" t="s">
        <v>154</v>
      </c>
      <c r="O77" s="15" t="s">
        <v>154</v>
      </c>
      <c r="P77" s="15" t="s">
        <v>154</v>
      </c>
      <c r="Q77" s="15" t="s">
        <v>154</v>
      </c>
      <c r="R77" s="15"/>
      <c r="S77">
        <f t="shared" si="1"/>
        <v>4</v>
      </c>
    </row>
    <row r="78" spans="1:19" x14ac:dyDescent="0.2">
      <c r="A78" s="82"/>
      <c r="B78" s="13" t="s">
        <v>92</v>
      </c>
      <c r="C78" s="14" t="s">
        <v>34</v>
      </c>
      <c r="D78" s="15" t="s">
        <v>154</v>
      </c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>
        <f t="shared" si="1"/>
        <v>0</v>
      </c>
    </row>
    <row r="79" spans="1:19" x14ac:dyDescent="0.2">
      <c r="A79" s="82"/>
      <c r="B79" s="13" t="s">
        <v>88</v>
      </c>
      <c r="C79" s="14" t="s">
        <v>34</v>
      </c>
      <c r="D79" s="15" t="s">
        <v>154</v>
      </c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>
        <f t="shared" si="1"/>
        <v>0</v>
      </c>
    </row>
    <row r="80" spans="1:19" x14ac:dyDescent="0.2">
      <c r="A80" s="82"/>
      <c r="B80" s="13" t="s">
        <v>84</v>
      </c>
      <c r="C80" s="14" t="s">
        <v>34</v>
      </c>
      <c r="D80" s="15" t="s">
        <v>154</v>
      </c>
      <c r="E80" s="15" t="s">
        <v>154</v>
      </c>
      <c r="F80" s="15"/>
      <c r="G80" s="15"/>
      <c r="H80" s="15"/>
      <c r="I80" s="15"/>
      <c r="J80" s="15"/>
      <c r="K80" s="15"/>
      <c r="L80" s="15"/>
      <c r="M80" s="15"/>
      <c r="N80" s="15" t="s">
        <v>154</v>
      </c>
      <c r="O80" s="15" t="s">
        <v>154</v>
      </c>
      <c r="P80" s="15" t="s">
        <v>154</v>
      </c>
      <c r="Q80" s="15" t="s">
        <v>154</v>
      </c>
      <c r="R80" s="15"/>
      <c r="S80">
        <f t="shared" si="1"/>
        <v>4</v>
      </c>
    </row>
    <row r="81" spans="1:19" ht="25.5" x14ac:dyDescent="0.2">
      <c r="A81" s="82"/>
      <c r="B81" s="13" t="s">
        <v>99</v>
      </c>
      <c r="C81" s="14" t="s">
        <v>34</v>
      </c>
      <c r="D81" s="15"/>
      <c r="E81" s="15" t="s">
        <v>154</v>
      </c>
      <c r="F81" s="15"/>
      <c r="G81" s="15"/>
      <c r="H81" s="15"/>
      <c r="I81" s="15"/>
      <c r="J81" s="15"/>
      <c r="K81" s="15"/>
      <c r="L81" s="15"/>
      <c r="M81" s="15"/>
      <c r="N81" s="15" t="s">
        <v>154</v>
      </c>
      <c r="O81" s="15" t="s">
        <v>154</v>
      </c>
      <c r="P81" s="15" t="s">
        <v>154</v>
      </c>
      <c r="Q81" s="15" t="s">
        <v>154</v>
      </c>
      <c r="R81" s="15"/>
      <c r="S81">
        <f t="shared" si="1"/>
        <v>4</v>
      </c>
    </row>
    <row r="82" spans="1:19" ht="25.5" x14ac:dyDescent="0.2">
      <c r="A82" s="82"/>
      <c r="B82" s="23" t="s">
        <v>100</v>
      </c>
      <c r="C82" s="24" t="s">
        <v>34</v>
      </c>
      <c r="D82" s="26"/>
      <c r="E82" s="26" t="s">
        <v>154</v>
      </c>
      <c r="F82" s="26" t="s">
        <v>154</v>
      </c>
      <c r="G82" s="15"/>
      <c r="H82" s="15"/>
      <c r="I82" s="15"/>
      <c r="J82" s="15"/>
      <c r="K82" s="15"/>
      <c r="L82" s="15"/>
      <c r="M82" s="15"/>
      <c r="N82" s="15" t="s">
        <v>154</v>
      </c>
      <c r="O82" s="15" t="s">
        <v>154</v>
      </c>
      <c r="P82" s="15" t="s">
        <v>154</v>
      </c>
      <c r="Q82" s="15" t="s">
        <v>154</v>
      </c>
      <c r="R82" s="15"/>
      <c r="S82">
        <f t="shared" si="1"/>
        <v>4</v>
      </c>
    </row>
    <row r="83" spans="1:19" x14ac:dyDescent="0.2">
      <c r="A83" s="82"/>
      <c r="B83" s="13" t="s">
        <v>97</v>
      </c>
      <c r="C83" s="14" t="s">
        <v>34</v>
      </c>
      <c r="D83" s="15"/>
      <c r="E83" s="15"/>
      <c r="F83" s="15"/>
      <c r="G83" s="15"/>
      <c r="H83" s="15"/>
      <c r="I83" s="15" t="s">
        <v>154</v>
      </c>
      <c r="J83" s="15"/>
      <c r="K83" s="15"/>
      <c r="L83" s="15"/>
      <c r="M83" s="15"/>
      <c r="N83" s="15"/>
      <c r="O83" s="15"/>
      <c r="P83" s="15"/>
      <c r="Q83" s="15"/>
      <c r="R83" s="15"/>
      <c r="S83">
        <f t="shared" si="1"/>
        <v>0</v>
      </c>
    </row>
    <row r="84" spans="1:19" ht="25.5" x14ac:dyDescent="0.2">
      <c r="A84" s="82"/>
      <c r="B84" s="13" t="s">
        <v>93</v>
      </c>
      <c r="C84" s="14" t="s">
        <v>34</v>
      </c>
      <c r="D84" s="15"/>
      <c r="E84" s="15"/>
      <c r="F84" s="15"/>
      <c r="G84" s="15"/>
      <c r="H84" s="15"/>
      <c r="I84" s="15" t="s">
        <v>154</v>
      </c>
      <c r="J84" s="15"/>
      <c r="K84" s="15"/>
      <c r="L84" s="15"/>
      <c r="M84" s="15"/>
      <c r="N84" s="15"/>
      <c r="O84" s="15"/>
      <c r="P84" s="15"/>
      <c r="Q84" s="15"/>
      <c r="R84" s="15"/>
      <c r="S84">
        <f t="shared" si="1"/>
        <v>0</v>
      </c>
    </row>
    <row r="85" spans="1:19" x14ac:dyDescent="0.2">
      <c r="A85" s="82"/>
      <c r="B85" s="13" t="s">
        <v>94</v>
      </c>
      <c r="C85" s="14" t="s">
        <v>34</v>
      </c>
      <c r="D85" s="15"/>
      <c r="E85" s="15"/>
      <c r="F85" s="15"/>
      <c r="G85" s="15"/>
      <c r="H85" s="15"/>
      <c r="I85" s="15" t="s">
        <v>154</v>
      </c>
      <c r="J85" s="15"/>
      <c r="K85" s="15"/>
      <c r="L85" s="15"/>
      <c r="M85" s="15"/>
      <c r="N85" s="15"/>
      <c r="O85" s="15"/>
      <c r="P85" s="15"/>
      <c r="Q85" s="15"/>
      <c r="R85" s="15"/>
      <c r="S85">
        <f t="shared" si="1"/>
        <v>0</v>
      </c>
    </row>
    <row r="86" spans="1:19" x14ac:dyDescent="0.2">
      <c r="A86" s="82"/>
      <c r="B86" s="13" t="s">
        <v>95</v>
      </c>
      <c r="C86" s="14" t="s">
        <v>34</v>
      </c>
      <c r="D86" s="15"/>
      <c r="E86" s="15"/>
      <c r="F86" s="15"/>
      <c r="G86" s="15"/>
      <c r="H86" s="15"/>
      <c r="I86" s="15" t="s">
        <v>154</v>
      </c>
      <c r="J86" s="15"/>
      <c r="K86" s="15"/>
      <c r="L86" s="15"/>
      <c r="M86" s="15"/>
      <c r="N86" s="15"/>
      <c r="O86" s="15"/>
      <c r="P86" s="15"/>
      <c r="Q86" s="15"/>
      <c r="R86" s="15"/>
      <c r="S86">
        <f t="shared" si="1"/>
        <v>0</v>
      </c>
    </row>
    <row r="87" spans="1:19" x14ac:dyDescent="0.2">
      <c r="A87" s="82"/>
      <c r="B87" s="13" t="s">
        <v>96</v>
      </c>
      <c r="C87" s="14" t="s">
        <v>34</v>
      </c>
      <c r="D87" s="15"/>
      <c r="E87" s="15"/>
      <c r="F87" s="15"/>
      <c r="G87" s="15"/>
      <c r="H87" s="15"/>
      <c r="I87" s="15" t="s">
        <v>154</v>
      </c>
      <c r="J87" s="15"/>
      <c r="K87" s="15"/>
      <c r="L87" s="15"/>
      <c r="M87" s="15"/>
      <c r="N87" s="15" t="s">
        <v>154</v>
      </c>
      <c r="O87" s="15" t="s">
        <v>154</v>
      </c>
      <c r="P87" s="15" t="s">
        <v>154</v>
      </c>
      <c r="Q87" s="15"/>
      <c r="R87" s="15"/>
      <c r="S87">
        <f t="shared" si="1"/>
        <v>3</v>
      </c>
    </row>
    <row r="88" spans="1:19" x14ac:dyDescent="0.2">
      <c r="A88" s="82"/>
      <c r="B88" s="23" t="s">
        <v>205</v>
      </c>
      <c r="C88" s="24" t="s">
        <v>34</v>
      </c>
      <c r="D88" s="26"/>
      <c r="E88" s="26"/>
      <c r="F88" s="26"/>
      <c r="G88" s="26"/>
      <c r="H88" s="26" t="s">
        <v>154</v>
      </c>
      <c r="I88" s="26"/>
      <c r="J88" s="26"/>
      <c r="K88" s="26"/>
      <c r="L88" s="26"/>
      <c r="M88" s="26"/>
      <c r="N88" s="26"/>
      <c r="O88" s="26"/>
      <c r="P88" s="26"/>
      <c r="Q88" s="26" t="s">
        <v>154</v>
      </c>
      <c r="R88" s="26"/>
      <c r="S88">
        <f t="shared" si="1"/>
        <v>1</v>
      </c>
    </row>
    <row r="89" spans="1:19" x14ac:dyDescent="0.2">
      <c r="A89" s="82"/>
      <c r="B89" s="23" t="s">
        <v>206</v>
      </c>
      <c r="C89" s="24" t="s">
        <v>34</v>
      </c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 t="s">
        <v>154</v>
      </c>
      <c r="R89" s="26"/>
      <c r="S89">
        <f t="shared" si="1"/>
        <v>1</v>
      </c>
    </row>
    <row r="90" spans="1:19" x14ac:dyDescent="0.2">
      <c r="A90" s="82"/>
      <c r="B90" s="23" t="s">
        <v>207</v>
      </c>
      <c r="C90" s="24" t="s">
        <v>34</v>
      </c>
      <c r="D90" s="26"/>
      <c r="E90" s="26"/>
      <c r="F90" s="26" t="s">
        <v>154</v>
      </c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>
        <f t="shared" si="1"/>
        <v>0</v>
      </c>
    </row>
    <row r="91" spans="1:19" x14ac:dyDescent="0.2">
      <c r="A91" s="82"/>
      <c r="B91" s="13" t="s">
        <v>41</v>
      </c>
      <c r="C91" s="14" t="s">
        <v>34</v>
      </c>
      <c r="D91" s="15"/>
      <c r="E91" s="15"/>
      <c r="F91" s="15"/>
      <c r="G91" s="15" t="s">
        <v>154</v>
      </c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>
        <f t="shared" si="1"/>
        <v>0</v>
      </c>
    </row>
    <row r="92" spans="1:19" x14ac:dyDescent="0.2">
      <c r="A92" s="82"/>
      <c r="B92" s="13" t="s">
        <v>67</v>
      </c>
      <c r="C92" s="14" t="s">
        <v>34</v>
      </c>
      <c r="D92" s="15"/>
      <c r="E92" s="15"/>
      <c r="F92" s="15"/>
      <c r="G92" s="15" t="s">
        <v>154</v>
      </c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>
        <f t="shared" si="1"/>
        <v>0</v>
      </c>
    </row>
    <row r="93" spans="1:19" x14ac:dyDescent="0.2">
      <c r="A93" s="82"/>
      <c r="B93" s="13" t="s">
        <v>105</v>
      </c>
      <c r="C93" s="14" t="s">
        <v>34</v>
      </c>
      <c r="D93" s="15"/>
      <c r="E93" s="15"/>
      <c r="F93" s="15"/>
      <c r="G93" s="15"/>
      <c r="H93" s="15" t="s">
        <v>154</v>
      </c>
      <c r="I93" s="15"/>
      <c r="J93" s="15"/>
      <c r="K93" s="15"/>
      <c r="L93" s="15"/>
      <c r="M93" s="15"/>
      <c r="N93" s="15"/>
      <c r="O93" s="15"/>
      <c r="P93" s="15"/>
      <c r="Q93" s="15"/>
      <c r="R93" s="15"/>
      <c r="S93">
        <f t="shared" si="1"/>
        <v>0</v>
      </c>
    </row>
    <row r="94" spans="1:19" x14ac:dyDescent="0.2">
      <c r="A94" s="82"/>
      <c r="B94" s="13" t="s">
        <v>106</v>
      </c>
      <c r="C94" s="14" t="s">
        <v>34</v>
      </c>
      <c r="D94" s="15"/>
      <c r="E94" s="15"/>
      <c r="F94" s="15"/>
      <c r="G94" s="15"/>
      <c r="H94" s="15" t="s">
        <v>154</v>
      </c>
      <c r="I94" s="15"/>
      <c r="J94" s="15"/>
      <c r="K94" s="15"/>
      <c r="L94" s="15"/>
      <c r="M94" s="15"/>
      <c r="N94" s="15"/>
      <c r="O94" s="15"/>
      <c r="P94" s="15"/>
      <c r="Q94" s="15"/>
      <c r="R94" s="15"/>
      <c r="S94">
        <f t="shared" si="1"/>
        <v>0</v>
      </c>
    </row>
    <row r="95" spans="1:19" x14ac:dyDescent="0.2">
      <c r="A95" s="82"/>
      <c r="B95" s="13" t="s">
        <v>107</v>
      </c>
      <c r="C95" s="14" t="s">
        <v>34</v>
      </c>
      <c r="D95" s="15"/>
      <c r="E95" s="15"/>
      <c r="F95" s="15"/>
      <c r="G95" s="15"/>
      <c r="H95" s="15" t="s">
        <v>154</v>
      </c>
      <c r="I95" s="15"/>
      <c r="J95" s="15"/>
      <c r="K95" s="15"/>
      <c r="L95" s="15"/>
      <c r="M95" s="15"/>
      <c r="N95" s="15"/>
      <c r="O95" s="15"/>
      <c r="P95" s="15"/>
      <c r="Q95" s="15"/>
      <c r="R95" s="15"/>
      <c r="S95">
        <f t="shared" si="1"/>
        <v>0</v>
      </c>
    </row>
    <row r="96" spans="1:19" x14ac:dyDescent="0.2">
      <c r="A96" s="82"/>
      <c r="B96" s="13" t="s">
        <v>108</v>
      </c>
      <c r="C96" s="14" t="s">
        <v>34</v>
      </c>
      <c r="D96" s="15"/>
      <c r="E96" s="15"/>
      <c r="F96" s="15"/>
      <c r="G96" s="15"/>
      <c r="H96" s="15" t="s">
        <v>154</v>
      </c>
      <c r="I96" s="15"/>
      <c r="J96" s="15"/>
      <c r="K96" s="15"/>
      <c r="L96" s="15"/>
      <c r="M96" s="15"/>
      <c r="N96" s="15"/>
      <c r="O96" s="15"/>
      <c r="P96" s="15"/>
      <c r="Q96" s="15"/>
      <c r="R96" s="15"/>
      <c r="S96">
        <f t="shared" si="1"/>
        <v>0</v>
      </c>
    </row>
    <row r="97" spans="1:19" x14ac:dyDescent="0.2">
      <c r="A97" s="82"/>
      <c r="B97" s="13" t="s">
        <v>109</v>
      </c>
      <c r="C97" s="14" t="s">
        <v>34</v>
      </c>
      <c r="D97" s="15"/>
      <c r="E97" s="15"/>
      <c r="F97" s="15"/>
      <c r="G97" s="15"/>
      <c r="H97" s="15" t="s">
        <v>154</v>
      </c>
      <c r="I97" s="15"/>
      <c r="J97" s="15"/>
      <c r="K97" s="15"/>
      <c r="L97" s="15"/>
      <c r="M97" s="15"/>
      <c r="N97" s="15"/>
      <c r="O97" s="15"/>
      <c r="P97" s="15"/>
      <c r="Q97" s="15"/>
      <c r="R97" s="15"/>
      <c r="S97">
        <f t="shared" si="1"/>
        <v>0</v>
      </c>
    </row>
    <row r="98" spans="1:19" x14ac:dyDescent="0.2">
      <c r="B98" s="6"/>
      <c r="C98" s="7"/>
      <c r="D98" s="9" t="s">
        <v>178</v>
      </c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</row>
  </sheetData>
  <autoFilter ref="B3:S98"/>
  <mergeCells count="5">
    <mergeCell ref="L1:R1"/>
    <mergeCell ref="F2:H2"/>
    <mergeCell ref="A4:A97"/>
    <mergeCell ref="D1:K1"/>
    <mergeCell ref="J2:R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FINAL_UCPA_Moduly</vt:lpstr>
      <vt:lpstr>TFC</vt:lpstr>
      <vt:lpstr>ECF</vt:lpstr>
      <vt:lpstr>UAW</vt:lpstr>
      <vt:lpstr>UUCW</vt:lpstr>
      <vt:lpstr>Skratky</vt:lpstr>
      <vt:lpstr>Zakaznicke sluzby</vt:lpstr>
      <vt:lpstr>PIVOT</vt:lpstr>
      <vt:lpstr>Sprava myta</vt:lpstr>
      <vt:lpstr>OBU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2020-07-23T07:30:48Z</cp:lastPrinted>
  <dcterms:created xsi:type="dcterms:W3CDTF">2020-07-08T06:19:15Z</dcterms:created>
  <dcterms:modified xsi:type="dcterms:W3CDTF">2020-07-27T09:00:53Z</dcterms:modified>
</cp:coreProperties>
</file>